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66925"/>
  <mc:AlternateContent xmlns:mc="http://schemas.openxmlformats.org/markup-compatibility/2006">
    <mc:Choice Requires="x15">
      <x15ac:absPath xmlns:x15ac="http://schemas.microsoft.com/office/spreadsheetml/2010/11/ac" url="https://lewishickey-my.sharepoint.com/personal/helen_atkinson_lewishickey_com/Documents/Documents/SkyLofts Ltd/2 London Road/Report/BNG_photos/"/>
    </mc:Choice>
  </mc:AlternateContent>
  <xr:revisionPtr revIDLastSave="4" documentId="13_ncr:1_{57B8F756-09AD-0445-B6D9-FB95D4B3E9FC}" xr6:coauthVersionLast="47" xr6:coauthVersionMax="47" xr10:uidLastSave="{E62EAEA0-09B5-4E9B-ACBE-61412B067D86}"/>
  <workbookProtection workbookAlgorithmName="SHA-512" workbookHashValue="TuRFJzp8rrr3k3M7rhk0bCNX7bXDqkxOj3p2Q7Am6ypTMl1gJVKNUGRH2wCbASomFkDdjvG450LYFseisTgjeQ==" workbookSaltValue="qYZZ0q2zEBfWSfeoRo100Q==" workbookSpinCount="100000" lockStructure="1"/>
  <bookViews>
    <workbookView xWindow="-108" yWindow="-108" windowWidth="23256" windowHeight="13896" tabRatio="730" firstSheet="1" activeTab="6" xr2:uid="{29E6C19A-7B8C-4DEC-93E8-BE5BF8A93D58}"/>
  </bookViews>
  <sheets>
    <sheet name="1. Introduction" sheetId="14" r:id="rId1"/>
    <sheet name="2. Site Details" sheetId="15" r:id="rId2"/>
    <sheet name="3. Desktop Assessment" sheetId="10" r:id="rId3"/>
    <sheet name="4. Supporting Information" sheetId="18" r:id="rId4"/>
    <sheet name="5. Area Habitats" sheetId="1" r:id="rId5"/>
    <sheet name="6. Hedges &amp; Lines of Trees" sheetId="21" r:id="rId6"/>
    <sheet name="7. Watercourses" sheetId="22" r:id="rId7"/>
    <sheet name="8. Headline Results" sheetId="11" r:id="rId8"/>
    <sheet name="9. All Habitats + Multipliers" sheetId="12" r:id="rId9"/>
    <sheet name="10. Condition and Temporal" sheetId="20" r:id="rId10"/>
    <sheet name="11. Lists" sheetId="4" r:id="rId11"/>
    <sheet name="13. Habitats Translation" sheetId="19" state="hidden" r:id="rId12"/>
  </sheets>
  <externalReferences>
    <externalReference r:id="rId13"/>
  </externalReferences>
  <definedNames>
    <definedName name="_xlnm._FilterDatabase" localSheetId="9" hidden="1">'10. Condition and Temporal'!$C$4:$M$85</definedName>
    <definedName name="_xlnm._FilterDatabase" localSheetId="11" hidden="1">'13. Habitats Translation'!$B$2:$F$83</definedName>
    <definedName name="CoastalSaltmarsh" localSheetId="5">Table15[Coastalsaltmarsh]</definedName>
    <definedName name="CoastalSaltmarsh" localSheetId="6">Table15[Coastalsaltmarsh]</definedName>
    <definedName name="CoastalSaltmarsh">Table15[Coastalsaltmarsh]</definedName>
    <definedName name="Cropland" localSheetId="5">Table2[Cropland]</definedName>
    <definedName name="Cropland" localSheetId="6">Table2[Cropland]</definedName>
    <definedName name="Cropland">Table2[Cropland]</definedName>
    <definedName name="Grassland" localSheetId="5">Table3[Grassland]</definedName>
    <definedName name="Grassland" localSheetId="6">Table3[Grassland]</definedName>
    <definedName name="Grassland">Table3[Grassland]</definedName>
    <definedName name="Heathlandandshrub" localSheetId="5">Table4[Heathlandandshrub]</definedName>
    <definedName name="Heathlandandshrub" localSheetId="6">Table4[Heathlandandshrub]</definedName>
    <definedName name="Heathlandandshrub">Table4[Heathlandandshrub]</definedName>
    <definedName name="Hedgerow">Table11[HedgerowsandLinesoftrees]</definedName>
    <definedName name="HedgerowsandLinesofTrees">Table11[HedgerowsandLinesoftrees]</definedName>
    <definedName name="Intertidalhardstructures" localSheetId="5">Table5[Intertidalhardstructures]</definedName>
    <definedName name="Intertidalhardstructures" localSheetId="6">Table5[Intertidalhardstructures]</definedName>
    <definedName name="Intertidalhardstructures">Table5[Intertidalhardstructures]</definedName>
    <definedName name="Intertidalsediment" localSheetId="5">Table6[Intertidalsediment]</definedName>
    <definedName name="Intertidalsediment" localSheetId="6">Table6[Intertidalsediment]</definedName>
    <definedName name="Intertidalsediment">Table6[Intertidalsediment]</definedName>
    <definedName name="Lakes" localSheetId="5">Table7[Lakes]</definedName>
    <definedName name="Lakes" localSheetId="6">Table7[Lakes]</definedName>
    <definedName name="Lakes">Table7[Lakes]</definedName>
    <definedName name="Lineoftrees" localSheetId="5">Table12[Lineoftrees]</definedName>
    <definedName name="Lineoftrees" localSheetId="6">Table12[Lineoftrees]</definedName>
    <definedName name="Lineoftrees">Table12[Lineoftrees]</definedName>
    <definedName name="_xlnm.Print_Area" localSheetId="0">'1. Introduction'!$B$1:$S$36</definedName>
    <definedName name="_xlnm.Print_Area" localSheetId="1">'2. Site Details'!$B$2:$D$23</definedName>
    <definedName name="_xlnm.Print_Area" localSheetId="2">'3. Desktop Assessment'!$B$2:$D$20</definedName>
    <definedName name="_xlnm.Print_Area" localSheetId="3">'4. Supporting Information'!$B$2:$E$47</definedName>
    <definedName name="_xlnm.Print_Area" localSheetId="4">'5. Area Habitats'!$A$2:$Q$140</definedName>
    <definedName name="_xlnm.Print_Area" localSheetId="5">'6. Hedges &amp; Lines of Trees'!$A$1:$Q$100</definedName>
    <definedName name="_xlnm.Print_Area" localSheetId="6">'7. Watercourses'!$A$1:$Q$100</definedName>
    <definedName name="_xlnm.Print_Area" localSheetId="7">'8. Headline Results'!$B$2:$D$49</definedName>
    <definedName name="Rivers" localSheetId="5">Table13[Watercourses]</definedName>
    <definedName name="Rivers" localSheetId="6">Table13[Watercourses]</definedName>
    <definedName name="Rivers">Table13[Watercourses]</definedName>
    <definedName name="Sparselyvegetatedland" localSheetId="5">Table8[Sparselyvegetatedland]</definedName>
    <definedName name="Sparselyvegetatedland" localSheetId="6">Table8[Sparselyvegetatedland]</definedName>
    <definedName name="Sparselyvegetatedland">Table8[Sparselyvegetatedland]</definedName>
    <definedName name="TemporalConditions">'[1]G-4 Temporal multipliers'!$F$3:$M$3</definedName>
    <definedName name="TemporalData">'[1]G-4 Temporal multipliers'!$F$3:$M$138</definedName>
    <definedName name="TemporalHabitats">'[1]G-4 Temporal multipliers'!$F$3:$F$138</definedName>
    <definedName name="Urban" localSheetId="5">Table9[Urban]</definedName>
    <definedName name="Urban" localSheetId="6">Table9[Urban]</definedName>
    <definedName name="Urban">Table9[Urban]</definedName>
    <definedName name="Watercourses">'11. Lists'!$Y$2:$Y$4</definedName>
    <definedName name="Woodlandandforest" localSheetId="5">Table10[Woodlandandforest]</definedName>
    <definedName name="Woodlandandforest" localSheetId="6">Table10[Woodlandandforest]</definedName>
    <definedName name="Woodlandandforest">Table10[Woodlandandforest]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15" l="1"/>
  <c r="E14" i="15"/>
  <c r="E15" i="15"/>
  <c r="E17" i="15"/>
  <c r="E18" i="15"/>
  <c r="E19" i="15"/>
  <c r="C2" i="10"/>
  <c r="D6" i="10"/>
  <c r="D7" i="10" s="1"/>
  <c r="E6" i="10"/>
  <c r="B8" i="10"/>
  <c r="D8" i="10" s="1"/>
  <c r="B9" i="10"/>
  <c r="D9" i="10" s="1"/>
  <c r="D11" i="10"/>
  <c r="D12" i="10"/>
  <c r="D16" i="10"/>
  <c r="D17" i="10"/>
  <c r="D2" i="18"/>
  <c r="E2" i="18"/>
  <c r="C9" i="18"/>
  <c r="C11" i="18"/>
  <c r="C13" i="18"/>
  <c r="C15" i="18"/>
  <c r="C17" i="18"/>
  <c r="C19" i="18"/>
  <c r="C21" i="18"/>
  <c r="C23" i="18"/>
  <c r="C25" i="18"/>
  <c r="C27" i="18"/>
  <c r="C29" i="18"/>
  <c r="C31" i="18"/>
  <c r="C33" i="18"/>
  <c r="C35" i="18"/>
  <c r="C37" i="18"/>
  <c r="C39" i="18"/>
  <c r="C41" i="18"/>
  <c r="C43" i="18"/>
  <c r="C45" i="18"/>
  <c r="C47" i="18"/>
  <c r="C2" i="1"/>
  <c r="M11" i="1"/>
  <c r="T11" i="1"/>
  <c r="V11" i="1" s="1"/>
  <c r="W11" i="1"/>
  <c r="X11" i="1" s="1"/>
  <c r="AB11" i="1"/>
  <c r="AC11" i="1" s="1"/>
  <c r="AD11" i="1"/>
  <c r="AE11" i="1"/>
  <c r="AH11" i="1"/>
  <c r="AI11" i="1"/>
  <c r="M12" i="1"/>
  <c r="T12" i="1"/>
  <c r="W12" i="1"/>
  <c r="X12" i="1"/>
  <c r="AB12" i="1"/>
  <c r="AD12" i="1" s="1"/>
  <c r="AG12" i="1"/>
  <c r="AI12" i="1"/>
  <c r="M13" i="1"/>
  <c r="T13" i="1"/>
  <c r="AH13" i="1" s="1"/>
  <c r="V13" i="1"/>
  <c r="W13" i="1"/>
  <c r="X13" i="1" s="1"/>
  <c r="AB13" i="1"/>
  <c r="AC13" i="1" s="1"/>
  <c r="AG13" i="1"/>
  <c r="AI13" i="1"/>
  <c r="M14" i="1"/>
  <c r="T14" i="1"/>
  <c r="V14" i="1"/>
  <c r="W14" i="1"/>
  <c r="X14" i="1" s="1"/>
  <c r="AB14" i="1"/>
  <c r="AD14" i="1" s="1"/>
  <c r="AC14" i="1"/>
  <c r="AG14" i="1"/>
  <c r="AH14" i="1"/>
  <c r="AI14" i="1"/>
  <c r="M15" i="1"/>
  <c r="AG15" i="1" s="1"/>
  <c r="T15" i="1"/>
  <c r="V15" i="1"/>
  <c r="W15" i="1"/>
  <c r="X15" i="1"/>
  <c r="AB15" i="1"/>
  <c r="AC15" i="1"/>
  <c r="AD15" i="1"/>
  <c r="AH15" i="1"/>
  <c r="AI15" i="1"/>
  <c r="M16" i="1"/>
  <c r="AG16" i="1" s="1"/>
  <c r="T16" i="1"/>
  <c r="V16" i="1" s="1"/>
  <c r="W16" i="1"/>
  <c r="X16" i="1"/>
  <c r="AB16" i="1"/>
  <c r="AH16" i="1"/>
  <c r="AI16" i="1"/>
  <c r="L17" i="1"/>
  <c r="M17" i="1"/>
  <c r="N17" i="1"/>
  <c r="T17" i="1"/>
  <c r="V17" i="1" s="1"/>
  <c r="W17" i="1"/>
  <c r="X17" i="1"/>
  <c r="AB17" i="1"/>
  <c r="AD17" i="1" s="1"/>
  <c r="AC17" i="1"/>
  <c r="AE17" i="1"/>
  <c r="AF17" i="1"/>
  <c r="AG17" i="1"/>
  <c r="AI17" i="1"/>
  <c r="L18" i="1"/>
  <c r="M18" i="1"/>
  <c r="N18" i="1"/>
  <c r="T18" i="1"/>
  <c r="AH18" i="1" s="1"/>
  <c r="V18" i="1"/>
  <c r="W18" i="1"/>
  <c r="X18" i="1" s="1"/>
  <c r="AB18" i="1"/>
  <c r="AC18" i="1"/>
  <c r="AD18" i="1"/>
  <c r="AE18" i="1"/>
  <c r="AF18" i="1"/>
  <c r="AG18" i="1"/>
  <c r="AI18" i="1"/>
  <c r="L19" i="1"/>
  <c r="M19" i="1"/>
  <c r="N19" i="1"/>
  <c r="T19" i="1"/>
  <c r="V19" i="1"/>
  <c r="W19" i="1"/>
  <c r="X19" i="1" s="1"/>
  <c r="AB19" i="1"/>
  <c r="AC19" i="1"/>
  <c r="AD19" i="1"/>
  <c r="AE19" i="1"/>
  <c r="AF19" i="1"/>
  <c r="AG19" i="1"/>
  <c r="AH19" i="1"/>
  <c r="AI19" i="1"/>
  <c r="L20" i="1"/>
  <c r="M20" i="1"/>
  <c r="N20" i="1"/>
  <c r="T20" i="1"/>
  <c r="W20" i="1"/>
  <c r="X20" i="1"/>
  <c r="AB20" i="1"/>
  <c r="AC20" i="1" s="1"/>
  <c r="AD20" i="1"/>
  <c r="AE20" i="1"/>
  <c r="AF20" i="1"/>
  <c r="AG20" i="1"/>
  <c r="AI20" i="1"/>
  <c r="L21" i="1"/>
  <c r="M21" i="1"/>
  <c r="N21" i="1"/>
  <c r="T21" i="1"/>
  <c r="AH21" i="1" s="1"/>
  <c r="V21" i="1"/>
  <c r="W21" i="1"/>
  <c r="X21" i="1"/>
  <c r="AB21" i="1"/>
  <c r="AC21" i="1" s="1"/>
  <c r="AE21" i="1"/>
  <c r="AF21" i="1"/>
  <c r="AG21" i="1"/>
  <c r="AI21" i="1"/>
  <c r="L22" i="1"/>
  <c r="M22" i="1"/>
  <c r="N22" i="1"/>
  <c r="T22" i="1"/>
  <c r="V22" i="1"/>
  <c r="W22" i="1"/>
  <c r="X22" i="1" s="1"/>
  <c r="AB22" i="1"/>
  <c r="AD22" i="1" s="1"/>
  <c r="AC22" i="1"/>
  <c r="AE22" i="1"/>
  <c r="AF22" i="1"/>
  <c r="AG22" i="1"/>
  <c r="AH22" i="1"/>
  <c r="AI22" i="1"/>
  <c r="L23" i="1"/>
  <c r="M23" i="1"/>
  <c r="N23" i="1"/>
  <c r="T23" i="1"/>
  <c r="V23" i="1"/>
  <c r="W23" i="1"/>
  <c r="X23" i="1"/>
  <c r="AB23" i="1"/>
  <c r="AC23" i="1"/>
  <c r="AD23" i="1"/>
  <c r="AE23" i="1"/>
  <c r="AF23" i="1"/>
  <c r="AG23" i="1"/>
  <c r="AH23" i="1"/>
  <c r="AI23" i="1"/>
  <c r="L24" i="1"/>
  <c r="M24" i="1"/>
  <c r="N24" i="1"/>
  <c r="T24" i="1"/>
  <c r="V24" i="1" s="1"/>
  <c r="W24" i="1"/>
  <c r="X24" i="1"/>
  <c r="AB24" i="1"/>
  <c r="AE24" i="1"/>
  <c r="AF24" i="1"/>
  <c r="AG24" i="1"/>
  <c r="AH24" i="1"/>
  <c r="AI24" i="1"/>
  <c r="L25" i="1"/>
  <c r="M25" i="1"/>
  <c r="N25" i="1"/>
  <c r="T25" i="1"/>
  <c r="V25" i="1" s="1"/>
  <c r="W25" i="1"/>
  <c r="X25" i="1"/>
  <c r="AB25" i="1"/>
  <c r="AD25" i="1" s="1"/>
  <c r="AC25" i="1"/>
  <c r="AE25" i="1"/>
  <c r="AF25" i="1"/>
  <c r="AG25" i="1"/>
  <c r="AI25" i="1"/>
  <c r="L26" i="1"/>
  <c r="M26" i="1"/>
  <c r="N26" i="1"/>
  <c r="T26" i="1"/>
  <c r="AH26" i="1" s="1"/>
  <c r="V26" i="1"/>
  <c r="W26" i="1"/>
  <c r="X26" i="1" s="1"/>
  <c r="AB26" i="1"/>
  <c r="AC26" i="1"/>
  <c r="AD26" i="1"/>
  <c r="AE26" i="1"/>
  <c r="AF26" i="1"/>
  <c r="AG26" i="1"/>
  <c r="AI26" i="1"/>
  <c r="L27" i="1"/>
  <c r="M27" i="1"/>
  <c r="N27" i="1"/>
  <c r="T27" i="1"/>
  <c r="V27" i="1"/>
  <c r="W27" i="1"/>
  <c r="X27" i="1" s="1"/>
  <c r="AB27" i="1"/>
  <c r="AC27" i="1"/>
  <c r="AD27" i="1"/>
  <c r="AE27" i="1"/>
  <c r="AF27" i="1"/>
  <c r="AG27" i="1"/>
  <c r="AH27" i="1"/>
  <c r="AI27" i="1"/>
  <c r="L28" i="1"/>
  <c r="M28" i="1"/>
  <c r="N28" i="1"/>
  <c r="T28" i="1"/>
  <c r="W28" i="1"/>
  <c r="X28" i="1"/>
  <c r="AB28" i="1"/>
  <c r="AC28" i="1" s="1"/>
  <c r="AD28" i="1"/>
  <c r="AE28" i="1"/>
  <c r="AF28" i="1"/>
  <c r="AG28" i="1"/>
  <c r="AI28" i="1"/>
  <c r="L29" i="1"/>
  <c r="M29" i="1"/>
  <c r="N29" i="1"/>
  <c r="T29" i="1"/>
  <c r="AH29" i="1" s="1"/>
  <c r="V29" i="1"/>
  <c r="W29" i="1"/>
  <c r="X29" i="1"/>
  <c r="AB29" i="1"/>
  <c r="AC29" i="1" s="1"/>
  <c r="AE29" i="1"/>
  <c r="AF29" i="1"/>
  <c r="AG29" i="1"/>
  <c r="AI29" i="1"/>
  <c r="L30" i="1"/>
  <c r="M30" i="1"/>
  <c r="N30" i="1"/>
  <c r="T30" i="1"/>
  <c r="V30" i="1"/>
  <c r="W30" i="1"/>
  <c r="X30" i="1" s="1"/>
  <c r="AB30" i="1"/>
  <c r="AD30" i="1" s="1"/>
  <c r="AC30" i="1"/>
  <c r="AE30" i="1"/>
  <c r="AF30" i="1"/>
  <c r="AG30" i="1"/>
  <c r="AH30" i="1"/>
  <c r="AI30" i="1"/>
  <c r="T31" i="1"/>
  <c r="W31" i="1"/>
  <c r="X31" i="1"/>
  <c r="AB31" i="1"/>
  <c r="AC31" i="1" s="1"/>
  <c r="AI31" i="1"/>
  <c r="I32" i="1"/>
  <c r="I33" i="1" s="1"/>
  <c r="O33" i="1" s="1"/>
  <c r="J32" i="1"/>
  <c r="K32" i="1"/>
  <c r="E40" i="1"/>
  <c r="T40" i="1"/>
  <c r="V40" i="1"/>
  <c r="W40" i="1"/>
  <c r="X40" i="1"/>
  <c r="AB40" i="1"/>
  <c r="AC40" i="1"/>
  <c r="AD40" i="1"/>
  <c r="AE40" i="1"/>
  <c r="AF40" i="1"/>
  <c r="AG40" i="1"/>
  <c r="AH40" i="1"/>
  <c r="E41" i="1"/>
  <c r="T41" i="1"/>
  <c r="V41" i="1" s="1"/>
  <c r="L41" i="1" s="1"/>
  <c r="W41" i="1"/>
  <c r="X41" i="1"/>
  <c r="AB41" i="1"/>
  <c r="AC41" i="1"/>
  <c r="AD41" i="1"/>
  <c r="AE41" i="1"/>
  <c r="AF41" i="1"/>
  <c r="AG41" i="1"/>
  <c r="AH41" i="1" s="1"/>
  <c r="E42" i="1"/>
  <c r="L42" i="1"/>
  <c r="T42" i="1"/>
  <c r="V42" i="1"/>
  <c r="W42" i="1"/>
  <c r="X42" i="1"/>
  <c r="AB42" i="1"/>
  <c r="AE42" i="1"/>
  <c r="AF42" i="1"/>
  <c r="AG42" i="1"/>
  <c r="AH42" i="1" s="1"/>
  <c r="E43" i="1"/>
  <c r="L43" i="1"/>
  <c r="T43" i="1"/>
  <c r="V43" i="1"/>
  <c r="W43" i="1"/>
  <c r="X43" i="1" s="1"/>
  <c r="AB43" i="1"/>
  <c r="AE43" i="1"/>
  <c r="AF43" i="1" s="1"/>
  <c r="AG43" i="1"/>
  <c r="AH43" i="1"/>
  <c r="E44" i="1"/>
  <c r="L44" i="1"/>
  <c r="T44" i="1"/>
  <c r="V44" i="1"/>
  <c r="W44" i="1"/>
  <c r="X44" i="1" s="1"/>
  <c r="AB44" i="1"/>
  <c r="AC44" i="1"/>
  <c r="AD44" i="1"/>
  <c r="AE44" i="1"/>
  <c r="AF44" i="1" s="1"/>
  <c r="AG44" i="1"/>
  <c r="AH44" i="1" s="1"/>
  <c r="E45" i="1"/>
  <c r="L45" i="1"/>
  <c r="T45" i="1"/>
  <c r="V45" i="1"/>
  <c r="W45" i="1"/>
  <c r="X45" i="1" s="1"/>
  <c r="AB45" i="1"/>
  <c r="AE45" i="1"/>
  <c r="AF45" i="1"/>
  <c r="AG45" i="1"/>
  <c r="AH45" i="1" s="1"/>
  <c r="E46" i="1"/>
  <c r="L46" i="1"/>
  <c r="T46" i="1"/>
  <c r="V46" i="1" s="1"/>
  <c r="W46" i="1"/>
  <c r="X46" i="1"/>
  <c r="AB46" i="1"/>
  <c r="AE46" i="1"/>
  <c r="AF46" i="1"/>
  <c r="AG46" i="1"/>
  <c r="AH46" i="1"/>
  <c r="E47" i="1"/>
  <c r="L47" i="1"/>
  <c r="T47" i="1"/>
  <c r="V47" i="1" s="1"/>
  <c r="W47" i="1"/>
  <c r="X47" i="1" s="1"/>
  <c r="AB47" i="1"/>
  <c r="AC47" i="1"/>
  <c r="AD47" i="1"/>
  <c r="AE47" i="1"/>
  <c r="AF47" i="1"/>
  <c r="AG47" i="1"/>
  <c r="AH47" i="1"/>
  <c r="E48" i="1"/>
  <c r="L48" i="1"/>
  <c r="T48" i="1"/>
  <c r="V48" i="1"/>
  <c r="W48" i="1"/>
  <c r="X48" i="1"/>
  <c r="AB48" i="1"/>
  <c r="AC48" i="1"/>
  <c r="AD48" i="1"/>
  <c r="AE48" i="1"/>
  <c r="AF48" i="1"/>
  <c r="AG48" i="1"/>
  <c r="AH48" i="1"/>
  <c r="E49" i="1"/>
  <c r="L49" i="1"/>
  <c r="T49" i="1"/>
  <c r="V49" i="1" s="1"/>
  <c r="W49" i="1"/>
  <c r="X49" i="1"/>
  <c r="AB49" i="1"/>
  <c r="AC49" i="1"/>
  <c r="AD49" i="1"/>
  <c r="AE49" i="1"/>
  <c r="AF49" i="1"/>
  <c r="AG49" i="1"/>
  <c r="AH49" i="1" s="1"/>
  <c r="E50" i="1"/>
  <c r="L50" i="1"/>
  <c r="T50" i="1"/>
  <c r="V50" i="1"/>
  <c r="W50" i="1"/>
  <c r="X50" i="1"/>
  <c r="AB50" i="1"/>
  <c r="AE50" i="1"/>
  <c r="AF50" i="1"/>
  <c r="AG50" i="1"/>
  <c r="AH50" i="1" s="1"/>
  <c r="E51" i="1"/>
  <c r="L51" i="1"/>
  <c r="T51" i="1"/>
  <c r="V51" i="1"/>
  <c r="W51" i="1"/>
  <c r="X51" i="1" s="1"/>
  <c r="AB51" i="1"/>
  <c r="AC51" i="1" s="1"/>
  <c r="AD51" i="1"/>
  <c r="AE51" i="1"/>
  <c r="AF51" i="1" s="1"/>
  <c r="AG51" i="1"/>
  <c r="AH51" i="1"/>
  <c r="E52" i="1"/>
  <c r="L52" i="1"/>
  <c r="T52" i="1"/>
  <c r="V52" i="1"/>
  <c r="W52" i="1"/>
  <c r="X52" i="1" s="1"/>
  <c r="AB52" i="1"/>
  <c r="AC52" i="1"/>
  <c r="AD52" i="1"/>
  <c r="AE52" i="1"/>
  <c r="AF52" i="1" s="1"/>
  <c r="AG52" i="1"/>
  <c r="AH52" i="1" s="1"/>
  <c r="E53" i="1"/>
  <c r="L53" i="1"/>
  <c r="T53" i="1"/>
  <c r="V53" i="1" s="1"/>
  <c r="W53" i="1"/>
  <c r="X53" i="1" s="1"/>
  <c r="AB53" i="1"/>
  <c r="AE53" i="1"/>
  <c r="AF53" i="1"/>
  <c r="AG53" i="1"/>
  <c r="AH53" i="1" s="1"/>
  <c r="E54" i="1"/>
  <c r="L54" i="1"/>
  <c r="T54" i="1"/>
  <c r="V54" i="1" s="1"/>
  <c r="W54" i="1"/>
  <c r="X54" i="1"/>
  <c r="AB54" i="1"/>
  <c r="AD54" i="1" s="1"/>
  <c r="AC54" i="1"/>
  <c r="AE54" i="1"/>
  <c r="AF54" i="1" s="1"/>
  <c r="AG54" i="1"/>
  <c r="AH54" i="1"/>
  <c r="E55" i="1"/>
  <c r="L55" i="1"/>
  <c r="T55" i="1"/>
  <c r="V55" i="1" s="1"/>
  <c r="W55" i="1"/>
  <c r="X55" i="1"/>
  <c r="AB55" i="1"/>
  <c r="AC55" i="1"/>
  <c r="AD55" i="1"/>
  <c r="AE55" i="1"/>
  <c r="AF55" i="1" s="1"/>
  <c r="AG55" i="1"/>
  <c r="AH55" i="1"/>
  <c r="E56" i="1"/>
  <c r="L56" i="1"/>
  <c r="T56" i="1"/>
  <c r="V56" i="1"/>
  <c r="W56" i="1"/>
  <c r="X56" i="1" s="1"/>
  <c r="AB56" i="1"/>
  <c r="AC56" i="1"/>
  <c r="AD56" i="1"/>
  <c r="AE56" i="1"/>
  <c r="AF56" i="1"/>
  <c r="AG56" i="1"/>
  <c r="AH56" i="1" s="1"/>
  <c r="E57" i="1"/>
  <c r="L57" i="1"/>
  <c r="T57" i="1"/>
  <c r="V57" i="1"/>
  <c r="W57" i="1"/>
  <c r="X57" i="1"/>
  <c r="AB57" i="1"/>
  <c r="AE57" i="1"/>
  <c r="AF57" i="1"/>
  <c r="AG57" i="1"/>
  <c r="AH57" i="1" s="1"/>
  <c r="E58" i="1"/>
  <c r="L58" i="1"/>
  <c r="T58" i="1"/>
  <c r="V58" i="1" s="1"/>
  <c r="W58" i="1"/>
  <c r="X58" i="1"/>
  <c r="AB58" i="1"/>
  <c r="AE58" i="1"/>
  <c r="AF58" i="1"/>
  <c r="AG58" i="1"/>
  <c r="AH58" i="1" s="1"/>
  <c r="E59" i="1"/>
  <c r="L59" i="1"/>
  <c r="T59" i="1"/>
  <c r="V59" i="1"/>
  <c r="W59" i="1"/>
  <c r="X59" i="1" s="1"/>
  <c r="AB59" i="1"/>
  <c r="AC59" i="1" s="1"/>
  <c r="AE59" i="1"/>
  <c r="AF59" i="1" s="1"/>
  <c r="AG59" i="1"/>
  <c r="AH59" i="1"/>
  <c r="T60" i="1"/>
  <c r="V60" i="1"/>
  <c r="W60" i="1"/>
  <c r="X60" i="1" s="1"/>
  <c r="AB60" i="1"/>
  <c r="AC60" i="1"/>
  <c r="AD60" i="1"/>
  <c r="AE60" i="1"/>
  <c r="AF60" i="1" s="1"/>
  <c r="AG60" i="1"/>
  <c r="AH60" i="1" s="1"/>
  <c r="I61" i="1"/>
  <c r="D68" i="1"/>
  <c r="E68" i="1"/>
  <c r="H68" i="1"/>
  <c r="AN68" i="1" s="1"/>
  <c r="AP68" i="1" s="1"/>
  <c r="I68" i="1"/>
  <c r="J68" i="1"/>
  <c r="L68" i="1"/>
  <c r="M68" i="1"/>
  <c r="U68" i="1"/>
  <c r="V68" i="1"/>
  <c r="AC68" i="1"/>
  <c r="AD68" i="1" s="1"/>
  <c r="AE68" i="1" s="1"/>
  <c r="AF68" i="1"/>
  <c r="AG68" i="1"/>
  <c r="AH68" i="1"/>
  <c r="AS68" i="1"/>
  <c r="AT68" i="1" s="1"/>
  <c r="AU68" i="1"/>
  <c r="AV68" i="1" s="1"/>
  <c r="AW68" i="1"/>
  <c r="AX68" i="1"/>
  <c r="BR68" i="1"/>
  <c r="D69" i="1"/>
  <c r="E69" i="1"/>
  <c r="I69" i="1"/>
  <c r="J69" i="1"/>
  <c r="M69" i="1"/>
  <c r="U69" i="1"/>
  <c r="V69" i="1"/>
  <c r="W69" i="1"/>
  <c r="AG69" i="1"/>
  <c r="AH69" i="1"/>
  <c r="AW69" i="1"/>
  <c r="AX69" i="1"/>
  <c r="BU69" i="1"/>
  <c r="D70" i="1"/>
  <c r="E70" i="1"/>
  <c r="I70" i="1"/>
  <c r="J70" i="1"/>
  <c r="L70" i="1"/>
  <c r="M70" i="1"/>
  <c r="U70" i="1"/>
  <c r="V70" i="1"/>
  <c r="AG70" i="1"/>
  <c r="AH70" i="1" s="1"/>
  <c r="AW70" i="1"/>
  <c r="AX70" i="1"/>
  <c r="D71" i="1"/>
  <c r="E71" i="1"/>
  <c r="I71" i="1"/>
  <c r="J71" i="1"/>
  <c r="M71" i="1"/>
  <c r="W71" i="1"/>
  <c r="AX71" i="1"/>
  <c r="BJ71" i="1"/>
  <c r="D72" i="1"/>
  <c r="E72" i="1"/>
  <c r="I72" i="1"/>
  <c r="J72" i="1"/>
  <c r="M72" i="1"/>
  <c r="AX72" i="1"/>
  <c r="D73" i="1"/>
  <c r="E73" i="1"/>
  <c r="I73" i="1"/>
  <c r="J73" i="1"/>
  <c r="M73" i="1"/>
  <c r="AB73" i="1"/>
  <c r="AQ73" i="1"/>
  <c r="AR73" i="1" s="1"/>
  <c r="AX73" i="1"/>
  <c r="BC73" i="1"/>
  <c r="BQ73" i="1"/>
  <c r="D74" i="1"/>
  <c r="E74" i="1"/>
  <c r="H74" i="1"/>
  <c r="AN74" i="1" s="1"/>
  <c r="I74" i="1"/>
  <c r="J74" i="1"/>
  <c r="M74" i="1"/>
  <c r="U74" i="1"/>
  <c r="V74" i="1"/>
  <c r="AB74" i="1"/>
  <c r="AC74" i="1"/>
  <c r="AD74" i="1" s="1"/>
  <c r="AE74" i="1" s="1"/>
  <c r="AQ74" i="1"/>
  <c r="AR74" i="1"/>
  <c r="AX74" i="1"/>
  <c r="BO74" i="1"/>
  <c r="D75" i="1"/>
  <c r="E75" i="1"/>
  <c r="I75" i="1"/>
  <c r="J75" i="1"/>
  <c r="M75" i="1"/>
  <c r="V75" i="1"/>
  <c r="W75" i="1"/>
  <c r="AB75" i="1"/>
  <c r="AQ75" i="1"/>
  <c r="AR75" i="1"/>
  <c r="AX75" i="1"/>
  <c r="BT75" i="1"/>
  <c r="D76" i="1"/>
  <c r="E76" i="1"/>
  <c r="I76" i="1"/>
  <c r="J76" i="1"/>
  <c r="M76" i="1"/>
  <c r="U76" i="1"/>
  <c r="V76" i="1"/>
  <c r="W76" i="1"/>
  <c r="AG76" i="1"/>
  <c r="AH76" i="1"/>
  <c r="AI76" i="1"/>
  <c r="AJ76" i="1" s="1"/>
  <c r="AU76" i="1"/>
  <c r="AV76" i="1" s="1"/>
  <c r="AW76" i="1"/>
  <c r="AX76" i="1"/>
  <c r="BO76" i="1"/>
  <c r="BQ76" i="1"/>
  <c r="D77" i="1"/>
  <c r="L77" i="1" s="1"/>
  <c r="E77" i="1"/>
  <c r="H77" i="1"/>
  <c r="AN77" i="1" s="1"/>
  <c r="AP77" i="1" s="1"/>
  <c r="I77" i="1"/>
  <c r="J77" i="1"/>
  <c r="M77" i="1"/>
  <c r="U77" i="1"/>
  <c r="V77" i="1"/>
  <c r="W77" i="1"/>
  <c r="X77" i="1"/>
  <c r="AC77" i="1"/>
  <c r="AD77" i="1"/>
  <c r="AE77" i="1" s="1"/>
  <c r="AI77" i="1"/>
  <c r="AJ77" i="1"/>
  <c r="AQ77" i="1"/>
  <c r="AR77" i="1"/>
  <c r="AU77" i="1"/>
  <c r="AV77" i="1" s="1"/>
  <c r="AX77" i="1"/>
  <c r="BJ77" i="1"/>
  <c r="BL77" i="1"/>
  <c r="BU77" i="1"/>
  <c r="D78" i="1"/>
  <c r="E78" i="1"/>
  <c r="H78" i="1"/>
  <c r="AN78" i="1" s="1"/>
  <c r="I78" i="1"/>
  <c r="J78" i="1"/>
  <c r="L78" i="1"/>
  <c r="M78" i="1"/>
  <c r="U78" i="1"/>
  <c r="V78" i="1"/>
  <c r="AB78" i="1"/>
  <c r="AC78" i="1"/>
  <c r="AD78" i="1"/>
  <c r="AE78" i="1" s="1"/>
  <c r="AF78" i="1"/>
  <c r="AG78" i="1"/>
  <c r="AH78" i="1" s="1"/>
  <c r="AQ78" i="1"/>
  <c r="AR78" i="1"/>
  <c r="AS78" i="1"/>
  <c r="AT78" i="1"/>
  <c r="AW78" i="1"/>
  <c r="AX78" i="1"/>
  <c r="BC78" i="1"/>
  <c r="BL78" i="1"/>
  <c r="BO78" i="1"/>
  <c r="BQ78" i="1"/>
  <c r="BR78" i="1"/>
  <c r="D79" i="1"/>
  <c r="E79" i="1"/>
  <c r="I79" i="1"/>
  <c r="J79" i="1"/>
  <c r="M79" i="1"/>
  <c r="V79" i="1"/>
  <c r="W79" i="1"/>
  <c r="AX79" i="1"/>
  <c r="BL79" i="1"/>
  <c r="D80" i="1"/>
  <c r="E80" i="1"/>
  <c r="I80" i="1"/>
  <c r="J80" i="1"/>
  <c r="M80" i="1"/>
  <c r="V80" i="1"/>
  <c r="AF80" i="1"/>
  <c r="AG80" i="1"/>
  <c r="AH80" i="1" s="1"/>
  <c r="AX80" i="1"/>
  <c r="BB80" i="1"/>
  <c r="BC80" i="1"/>
  <c r="BL80" i="1"/>
  <c r="D81" i="1"/>
  <c r="E81" i="1"/>
  <c r="H81" i="1"/>
  <c r="I81" i="1"/>
  <c r="J81" i="1"/>
  <c r="L81" i="1"/>
  <c r="M81" i="1"/>
  <c r="U81" i="1"/>
  <c r="V81" i="1"/>
  <c r="X81" i="1"/>
  <c r="AB81" i="1"/>
  <c r="AC81" i="1"/>
  <c r="AD81" i="1" s="1"/>
  <c r="AE81" i="1" s="1"/>
  <c r="AF81" i="1"/>
  <c r="AG81" i="1"/>
  <c r="AH81" i="1" s="1"/>
  <c r="AN81" i="1"/>
  <c r="AQ81" i="1"/>
  <c r="AR81" i="1"/>
  <c r="AS81" i="1"/>
  <c r="AT81" i="1" s="1"/>
  <c r="AW81" i="1"/>
  <c r="AX81" i="1"/>
  <c r="BJ81" i="1"/>
  <c r="BL81" i="1"/>
  <c r="BR81" i="1"/>
  <c r="BT81" i="1"/>
  <c r="BU81" i="1"/>
  <c r="D82" i="1"/>
  <c r="E82" i="1"/>
  <c r="H82" i="1"/>
  <c r="I82" i="1"/>
  <c r="J82" i="1"/>
  <c r="L82" i="1"/>
  <c r="M82" i="1"/>
  <c r="V82" i="1"/>
  <c r="W82" i="1"/>
  <c r="X82" i="1"/>
  <c r="AB82" i="1"/>
  <c r="AC82" i="1"/>
  <c r="AD82" i="1"/>
  <c r="AE82" i="1" s="1"/>
  <c r="AG82" i="1"/>
  <c r="AH82" i="1"/>
  <c r="AI82" i="1"/>
  <c r="AJ82" i="1" s="1"/>
  <c r="AN82" i="1"/>
  <c r="AP82" i="1" s="1"/>
  <c r="AS82" i="1"/>
  <c r="AT82" i="1"/>
  <c r="AU82" i="1"/>
  <c r="AV82" i="1"/>
  <c r="AW82" i="1"/>
  <c r="AX82" i="1"/>
  <c r="BL82" i="1"/>
  <c r="BT82" i="1"/>
  <c r="BU82" i="1"/>
  <c r="C83" i="1"/>
  <c r="AY83" i="1" s="1"/>
  <c r="D83" i="1"/>
  <c r="E83" i="1"/>
  <c r="H83" i="1"/>
  <c r="I83" i="1"/>
  <c r="J83" i="1"/>
  <c r="L83" i="1"/>
  <c r="M83" i="1"/>
  <c r="T83" i="1"/>
  <c r="U83" i="1"/>
  <c r="V83" i="1"/>
  <c r="W83" i="1"/>
  <c r="X83" i="1"/>
  <c r="AB83" i="1"/>
  <c r="AC83" i="1"/>
  <c r="AD83" i="1" s="1"/>
  <c r="AE83" i="1" s="1"/>
  <c r="AF83" i="1"/>
  <c r="AG83" i="1"/>
  <c r="AH83" i="1"/>
  <c r="AI83" i="1"/>
  <c r="AJ83" i="1"/>
  <c r="AN83" i="1"/>
  <c r="AP83" i="1" s="1"/>
  <c r="AO83" i="1"/>
  <c r="AQ83" i="1"/>
  <c r="AR83" i="1"/>
  <c r="AS83" i="1"/>
  <c r="AT83" i="1" s="1"/>
  <c r="AU83" i="1"/>
  <c r="AV83" i="1"/>
  <c r="AW83" i="1"/>
  <c r="AX83" i="1"/>
  <c r="BC83" i="1"/>
  <c r="BD83" i="1"/>
  <c r="BL83" i="1"/>
  <c r="BO83" i="1"/>
  <c r="BU83" i="1"/>
  <c r="C84" i="1"/>
  <c r="AY84" i="1" s="1"/>
  <c r="D84" i="1"/>
  <c r="E84" i="1"/>
  <c r="H84" i="1"/>
  <c r="AN84" i="1" s="1"/>
  <c r="AP84" i="1" s="1"/>
  <c r="I84" i="1"/>
  <c r="J84" i="1"/>
  <c r="L84" i="1"/>
  <c r="M84" i="1"/>
  <c r="T84" i="1"/>
  <c r="U84" i="1"/>
  <c r="V84" i="1"/>
  <c r="W84" i="1"/>
  <c r="X84" i="1"/>
  <c r="AB84" i="1"/>
  <c r="AC84" i="1"/>
  <c r="AD84" i="1" s="1"/>
  <c r="AE84" i="1" s="1"/>
  <c r="AF84" i="1"/>
  <c r="AG84" i="1"/>
  <c r="AH84" i="1" s="1"/>
  <c r="AI84" i="1"/>
  <c r="AJ84" i="1" s="1"/>
  <c r="AO84" i="1"/>
  <c r="AQ84" i="1"/>
  <c r="AR84" i="1"/>
  <c r="AS84" i="1"/>
  <c r="AT84" i="1"/>
  <c r="AU84" i="1"/>
  <c r="AV84" i="1" s="1"/>
  <c r="AW84" i="1"/>
  <c r="BR76" i="1" s="1"/>
  <c r="AX84" i="1"/>
  <c r="BC84" i="1"/>
  <c r="BD84" i="1"/>
  <c r="BJ84" i="1"/>
  <c r="BL84" i="1"/>
  <c r="BO84" i="1"/>
  <c r="BR84" i="1"/>
  <c r="BU84" i="1"/>
  <c r="C85" i="1"/>
  <c r="AY85" i="1" s="1"/>
  <c r="D85" i="1"/>
  <c r="E85" i="1"/>
  <c r="H85" i="1"/>
  <c r="I85" i="1"/>
  <c r="J85" i="1"/>
  <c r="L85" i="1"/>
  <c r="M85" i="1"/>
  <c r="T85" i="1"/>
  <c r="U85" i="1"/>
  <c r="V85" i="1"/>
  <c r="W85" i="1"/>
  <c r="X85" i="1"/>
  <c r="AB85" i="1"/>
  <c r="AC85" i="1"/>
  <c r="AD85" i="1"/>
  <c r="AE85" i="1" s="1"/>
  <c r="AF85" i="1"/>
  <c r="AG85" i="1"/>
  <c r="AH85" i="1" s="1"/>
  <c r="AI85" i="1"/>
  <c r="AJ85" i="1"/>
  <c r="AN85" i="1"/>
  <c r="AQ85" i="1"/>
  <c r="AR85" i="1"/>
  <c r="AS85" i="1"/>
  <c r="AT85" i="1" s="1"/>
  <c r="AU85" i="1"/>
  <c r="AV85" i="1"/>
  <c r="AW85" i="1"/>
  <c r="AX85" i="1"/>
  <c r="BC85" i="1"/>
  <c r="BD85" i="1"/>
  <c r="BJ85" i="1"/>
  <c r="BL85" i="1"/>
  <c r="BO85" i="1"/>
  <c r="BT85" i="1"/>
  <c r="BU85" i="1"/>
  <c r="C86" i="1"/>
  <c r="AY86" i="1" s="1"/>
  <c r="D86" i="1"/>
  <c r="H86" i="1"/>
  <c r="I86" i="1"/>
  <c r="J86" i="1"/>
  <c r="L86" i="1"/>
  <c r="M86" i="1"/>
  <c r="T86" i="1"/>
  <c r="U86" i="1"/>
  <c r="V86" i="1"/>
  <c r="W86" i="1"/>
  <c r="X86" i="1"/>
  <c r="AB86" i="1"/>
  <c r="AC86" i="1"/>
  <c r="AD86" i="1"/>
  <c r="AE86" i="1" s="1"/>
  <c r="AF86" i="1"/>
  <c r="AG86" i="1"/>
  <c r="AH86" i="1" s="1"/>
  <c r="AI86" i="1"/>
  <c r="AJ86" i="1"/>
  <c r="AN86" i="1"/>
  <c r="AP86" i="1" s="1"/>
  <c r="AO86" i="1"/>
  <c r="AQ86" i="1"/>
  <c r="AR86" i="1"/>
  <c r="AS86" i="1"/>
  <c r="AT86" i="1" s="1"/>
  <c r="AU86" i="1"/>
  <c r="AV86" i="1"/>
  <c r="AW86" i="1"/>
  <c r="BT80" i="1" s="1"/>
  <c r="AX86" i="1"/>
  <c r="E86" i="1" s="1"/>
  <c r="BC86" i="1"/>
  <c r="BJ86" i="1"/>
  <c r="BL86" i="1"/>
  <c r="BO86" i="1"/>
  <c r="BR86" i="1"/>
  <c r="BT86" i="1"/>
  <c r="BU86" i="1"/>
  <c r="C87" i="1"/>
  <c r="AY87" i="1" s="1"/>
  <c r="D87" i="1"/>
  <c r="E87" i="1"/>
  <c r="H87" i="1"/>
  <c r="AN87" i="1" s="1"/>
  <c r="I87" i="1"/>
  <c r="J87" i="1"/>
  <c r="L87" i="1"/>
  <c r="M87" i="1"/>
  <c r="T87" i="1"/>
  <c r="U87" i="1"/>
  <c r="V87" i="1"/>
  <c r="W87" i="1"/>
  <c r="X87" i="1"/>
  <c r="AB87" i="1"/>
  <c r="AC87" i="1"/>
  <c r="AD87" i="1" s="1"/>
  <c r="AE87" i="1" s="1"/>
  <c r="AF87" i="1"/>
  <c r="AG87" i="1"/>
  <c r="AH87" i="1"/>
  <c r="AI87" i="1"/>
  <c r="AJ87" i="1" s="1"/>
  <c r="AQ87" i="1"/>
  <c r="AR87" i="1"/>
  <c r="AS87" i="1"/>
  <c r="AT87" i="1"/>
  <c r="AU87" i="1"/>
  <c r="AV87" i="1" s="1"/>
  <c r="AW87" i="1"/>
  <c r="AX87" i="1"/>
  <c r="BD87" i="1"/>
  <c r="BJ87" i="1"/>
  <c r="BL87" i="1"/>
  <c r="BO87" i="1"/>
  <c r="BT87" i="1"/>
  <c r="BU87" i="1"/>
  <c r="J88" i="1"/>
  <c r="T88" i="1"/>
  <c r="W88" i="1"/>
  <c r="X88" i="1"/>
  <c r="AB88" i="1"/>
  <c r="AF88" i="1"/>
  <c r="AG88" i="1"/>
  <c r="AH88" i="1" s="1"/>
  <c r="AI88" i="1"/>
  <c r="AJ88" i="1" s="1"/>
  <c r="AN88" i="1"/>
  <c r="AO88" i="1"/>
  <c r="AP88" i="1"/>
  <c r="AQ88" i="1"/>
  <c r="AR88" i="1"/>
  <c r="AS88" i="1"/>
  <c r="AT88" i="1" s="1"/>
  <c r="AU88" i="1"/>
  <c r="AV88" i="1" s="1"/>
  <c r="AW88" i="1"/>
  <c r="AX88" i="1"/>
  <c r="AY88" i="1"/>
  <c r="I89" i="1"/>
  <c r="D99" i="1"/>
  <c r="E99" i="1"/>
  <c r="G99" i="1"/>
  <c r="E100" i="1"/>
  <c r="F114" i="1"/>
  <c r="F115" i="1"/>
  <c r="I115" i="1" s="1"/>
  <c r="J115" i="1" s="1"/>
  <c r="F116" i="1"/>
  <c r="F117" i="1"/>
  <c r="I117" i="1" s="1"/>
  <c r="J117" i="1" s="1"/>
  <c r="F118" i="1"/>
  <c r="F119" i="1"/>
  <c r="I119" i="1" s="1"/>
  <c r="J119" i="1" s="1"/>
  <c r="F120" i="1"/>
  <c r="F121" i="1"/>
  <c r="I121" i="1" s="1"/>
  <c r="J121" i="1" s="1"/>
  <c r="F122" i="1"/>
  <c r="F123" i="1"/>
  <c r="I123" i="1" s="1"/>
  <c r="J123" i="1" s="1"/>
  <c r="F124" i="1"/>
  <c r="F125" i="1"/>
  <c r="I125" i="1"/>
  <c r="J125" i="1" s="1"/>
  <c r="F126" i="1"/>
  <c r="F127" i="1"/>
  <c r="I127" i="1" s="1"/>
  <c r="J127" i="1" s="1"/>
  <c r="F129" i="1"/>
  <c r="I129" i="1" s="1"/>
  <c r="J129" i="1" s="1"/>
  <c r="F130" i="1"/>
  <c r="F131" i="1"/>
  <c r="I131" i="1" s="1"/>
  <c r="J131" i="1" s="1"/>
  <c r="F132" i="1"/>
  <c r="F133" i="1"/>
  <c r="I133" i="1"/>
  <c r="J133" i="1" s="1"/>
  <c r="F134" i="1"/>
  <c r="C2" i="21"/>
  <c r="L11" i="21"/>
  <c r="M11" i="21"/>
  <c r="N11" i="21"/>
  <c r="T11" i="21"/>
  <c r="W11" i="21"/>
  <c r="X11" i="21"/>
  <c r="AB11" i="21"/>
  <c r="AC11" i="21"/>
  <c r="AD11" i="21"/>
  <c r="AE11" i="21"/>
  <c r="AF11" i="21"/>
  <c r="AG11" i="21"/>
  <c r="AI11" i="21"/>
  <c r="L12" i="21"/>
  <c r="M12" i="21"/>
  <c r="N12" i="21"/>
  <c r="T12" i="21"/>
  <c r="AH12" i="21" s="1"/>
  <c r="V12" i="21"/>
  <c r="W12" i="21"/>
  <c r="X12" i="21"/>
  <c r="AB12" i="21"/>
  <c r="AE12" i="21"/>
  <c r="AF12" i="21"/>
  <c r="AG12" i="21"/>
  <c r="AI12" i="21"/>
  <c r="L13" i="21"/>
  <c r="M13" i="21"/>
  <c r="N13" i="21"/>
  <c r="T13" i="21"/>
  <c r="V13" i="21" s="1"/>
  <c r="W13" i="21"/>
  <c r="X13" i="21" s="1"/>
  <c r="AB13" i="21"/>
  <c r="AC13" i="21"/>
  <c r="AD13" i="21"/>
  <c r="AE13" i="21"/>
  <c r="P1" i="21" s="1"/>
  <c r="AF13" i="21"/>
  <c r="AG13" i="21"/>
  <c r="AI13" i="21"/>
  <c r="L14" i="21"/>
  <c r="M14" i="21"/>
  <c r="N14" i="21"/>
  <c r="T14" i="21"/>
  <c r="AH14" i="21" s="1"/>
  <c r="W14" i="21"/>
  <c r="X14" i="21" s="1"/>
  <c r="AB14" i="21"/>
  <c r="AC14" i="21"/>
  <c r="AD14" i="21"/>
  <c r="AE14" i="21"/>
  <c r="AF14" i="21"/>
  <c r="AG14" i="21"/>
  <c r="AI14" i="21"/>
  <c r="L15" i="21"/>
  <c r="M15" i="21"/>
  <c r="N15" i="21"/>
  <c r="T15" i="21"/>
  <c r="V15" i="21"/>
  <c r="W15" i="21"/>
  <c r="X15" i="21" s="1"/>
  <c r="AB15" i="21"/>
  <c r="AE15" i="21"/>
  <c r="AF15" i="21"/>
  <c r="AG15" i="21"/>
  <c r="AH15" i="21"/>
  <c r="AI15" i="21"/>
  <c r="L16" i="21"/>
  <c r="M16" i="21"/>
  <c r="N16" i="21"/>
  <c r="T16" i="21"/>
  <c r="V16" i="21" s="1"/>
  <c r="W16" i="21"/>
  <c r="X16" i="21"/>
  <c r="AB16" i="21"/>
  <c r="AD16" i="21" s="1"/>
  <c r="AC16" i="21"/>
  <c r="AE16" i="21"/>
  <c r="AF16" i="21"/>
  <c r="AG16" i="21"/>
  <c r="AH16" i="21"/>
  <c r="AI16" i="21"/>
  <c r="L17" i="21"/>
  <c r="M17" i="21"/>
  <c r="N17" i="21"/>
  <c r="T17" i="21"/>
  <c r="V17" i="21"/>
  <c r="W17" i="21"/>
  <c r="X17" i="21"/>
  <c r="AB17" i="21"/>
  <c r="AC17" i="21"/>
  <c r="AD17" i="21"/>
  <c r="AE17" i="21"/>
  <c r="AF17" i="21"/>
  <c r="AG17" i="21"/>
  <c r="AH17" i="21"/>
  <c r="AI17" i="21"/>
  <c r="L18" i="21"/>
  <c r="M18" i="21"/>
  <c r="N18" i="21"/>
  <c r="T18" i="21"/>
  <c r="V18" i="21"/>
  <c r="W18" i="21"/>
  <c r="X18" i="21" s="1"/>
  <c r="AB18" i="21"/>
  <c r="AE18" i="21"/>
  <c r="AF18" i="21"/>
  <c r="AG18" i="21"/>
  <c r="AH18" i="21"/>
  <c r="AI18" i="21"/>
  <c r="L19" i="21"/>
  <c r="M19" i="21"/>
  <c r="N19" i="21"/>
  <c r="T19" i="21"/>
  <c r="W19" i="21"/>
  <c r="X19" i="21"/>
  <c r="AB19" i="21"/>
  <c r="AC19" i="21"/>
  <c r="AD19" i="21"/>
  <c r="AE19" i="21"/>
  <c r="AF19" i="21"/>
  <c r="AG19" i="21"/>
  <c r="AI19" i="21"/>
  <c r="L20" i="21"/>
  <c r="M20" i="21"/>
  <c r="N20" i="21"/>
  <c r="T20" i="21"/>
  <c r="W20" i="21"/>
  <c r="X20" i="21"/>
  <c r="AB20" i="21"/>
  <c r="AC20" i="21" s="1"/>
  <c r="AD20" i="21"/>
  <c r="AE20" i="21"/>
  <c r="AF20" i="21"/>
  <c r="AG20" i="21"/>
  <c r="AI20" i="21"/>
  <c r="L21" i="21"/>
  <c r="M21" i="21"/>
  <c r="N21" i="21"/>
  <c r="T21" i="21"/>
  <c r="V21" i="21"/>
  <c r="W21" i="21"/>
  <c r="X21" i="21" s="1"/>
  <c r="AB21" i="21"/>
  <c r="AC21" i="21"/>
  <c r="AD21" i="21"/>
  <c r="AE21" i="21"/>
  <c r="AF21" i="21"/>
  <c r="AG21" i="21"/>
  <c r="AH21" i="21"/>
  <c r="AI21" i="21"/>
  <c r="L22" i="21"/>
  <c r="M22" i="21"/>
  <c r="N22" i="21"/>
  <c r="T22" i="21"/>
  <c r="V22" i="21" s="1"/>
  <c r="W22" i="21"/>
  <c r="X22" i="21" s="1"/>
  <c r="AB22" i="21"/>
  <c r="AC22" i="21"/>
  <c r="AD22" i="21"/>
  <c r="AE22" i="21"/>
  <c r="AF22" i="21"/>
  <c r="AG22" i="21"/>
  <c r="AH22" i="21"/>
  <c r="AI22" i="21"/>
  <c r="L23" i="21"/>
  <c r="M23" i="21"/>
  <c r="N23" i="21"/>
  <c r="T23" i="21"/>
  <c r="V23" i="21"/>
  <c r="W23" i="21"/>
  <c r="X23" i="21"/>
  <c r="AB23" i="21"/>
  <c r="AC23" i="21" s="1"/>
  <c r="AD23" i="21"/>
  <c r="AE23" i="21"/>
  <c r="AF23" i="21"/>
  <c r="AG23" i="21"/>
  <c r="AH23" i="21"/>
  <c r="AI23" i="21"/>
  <c r="L24" i="21"/>
  <c r="M24" i="21"/>
  <c r="N24" i="21"/>
  <c r="T24" i="21"/>
  <c r="W24" i="21"/>
  <c r="X24" i="21"/>
  <c r="AB24" i="21"/>
  <c r="AD24" i="21" s="1"/>
  <c r="AC24" i="21"/>
  <c r="AE24" i="21"/>
  <c r="AF24" i="21"/>
  <c r="AG24" i="21"/>
  <c r="AI24" i="21"/>
  <c r="L25" i="21"/>
  <c r="M25" i="21"/>
  <c r="N25" i="21"/>
  <c r="T25" i="21"/>
  <c r="W25" i="21"/>
  <c r="X25" i="21" s="1"/>
  <c r="AB25" i="21"/>
  <c r="AC25" i="21"/>
  <c r="AD25" i="21"/>
  <c r="AE25" i="21"/>
  <c r="AF25" i="21"/>
  <c r="AG25" i="21"/>
  <c r="AI25" i="21"/>
  <c r="L26" i="21"/>
  <c r="M26" i="21"/>
  <c r="N26" i="21"/>
  <c r="T26" i="21"/>
  <c r="V26" i="21"/>
  <c r="W26" i="21"/>
  <c r="X26" i="21" s="1"/>
  <c r="AB26" i="21"/>
  <c r="AC26" i="21" s="1"/>
  <c r="AE26" i="21"/>
  <c r="AF26" i="21"/>
  <c r="AG26" i="21"/>
  <c r="AH26" i="21"/>
  <c r="AI26" i="21"/>
  <c r="L27" i="21"/>
  <c r="M27" i="21"/>
  <c r="N27" i="21"/>
  <c r="T27" i="21"/>
  <c r="V27" i="21" s="1"/>
  <c r="W27" i="21"/>
  <c r="X27" i="21"/>
  <c r="AB27" i="21"/>
  <c r="AD27" i="21" s="1"/>
  <c r="AC27" i="21"/>
  <c r="AE27" i="21"/>
  <c r="AF27" i="21"/>
  <c r="AG27" i="21"/>
  <c r="AH27" i="21"/>
  <c r="AI27" i="21"/>
  <c r="L28" i="21"/>
  <c r="M28" i="21"/>
  <c r="N28" i="21"/>
  <c r="T28" i="21"/>
  <c r="AH28" i="21" s="1"/>
  <c r="V28" i="21"/>
  <c r="W28" i="21"/>
  <c r="X28" i="21"/>
  <c r="AB28" i="21"/>
  <c r="AC28" i="21"/>
  <c r="AD28" i="21"/>
  <c r="AE28" i="21"/>
  <c r="AF28" i="21"/>
  <c r="AG28" i="21"/>
  <c r="AI28" i="21"/>
  <c r="L29" i="21"/>
  <c r="M29" i="21"/>
  <c r="N29" i="21"/>
  <c r="T29" i="21"/>
  <c r="W29" i="21"/>
  <c r="X29" i="21" s="1"/>
  <c r="AB29" i="21"/>
  <c r="AC29" i="21" s="1"/>
  <c r="AD29" i="21"/>
  <c r="AE29" i="21"/>
  <c r="AF29" i="21"/>
  <c r="AG29" i="21"/>
  <c r="AI29" i="21"/>
  <c r="L30" i="21"/>
  <c r="M30" i="21"/>
  <c r="N30" i="21"/>
  <c r="T30" i="21"/>
  <c r="V30" i="21" s="1"/>
  <c r="W30" i="21"/>
  <c r="X30" i="21" s="1"/>
  <c r="AB30" i="21"/>
  <c r="AC30" i="21"/>
  <c r="AD30" i="21"/>
  <c r="AE30" i="21"/>
  <c r="AF30" i="21"/>
  <c r="AG30" i="21"/>
  <c r="AI30" i="21"/>
  <c r="I31" i="21"/>
  <c r="J31" i="21"/>
  <c r="K31" i="21"/>
  <c r="M31" i="21"/>
  <c r="I32" i="21"/>
  <c r="O32" i="21" s="1"/>
  <c r="I33" i="21"/>
  <c r="E39" i="21"/>
  <c r="L39" i="21"/>
  <c r="L59" i="21" s="1"/>
  <c r="P3" i="21" s="1"/>
  <c r="T39" i="21"/>
  <c r="V39" i="21" s="1"/>
  <c r="W39" i="21"/>
  <c r="X39" i="21" s="1"/>
  <c r="AB39" i="21"/>
  <c r="AC39" i="21"/>
  <c r="AD39" i="21"/>
  <c r="AE39" i="21"/>
  <c r="AF39" i="21"/>
  <c r="AG39" i="21"/>
  <c r="AH39" i="21" s="1"/>
  <c r="E40" i="21"/>
  <c r="L40" i="21"/>
  <c r="T40" i="21"/>
  <c r="V40" i="21" s="1"/>
  <c r="W40" i="21"/>
  <c r="X40" i="21" s="1"/>
  <c r="AB40" i="21"/>
  <c r="AD40" i="21" s="1"/>
  <c r="AC40" i="21"/>
  <c r="AE40" i="21"/>
  <c r="AF40" i="21"/>
  <c r="AG40" i="21"/>
  <c r="AH40" i="21"/>
  <c r="E41" i="21"/>
  <c r="L41" i="21"/>
  <c r="T41" i="21"/>
  <c r="V41" i="21" s="1"/>
  <c r="W41" i="21"/>
  <c r="X41" i="21"/>
  <c r="AB41" i="21"/>
  <c r="AC41" i="21"/>
  <c r="AD41" i="21"/>
  <c r="AE41" i="21"/>
  <c r="AF41" i="21" s="1"/>
  <c r="AG41" i="21"/>
  <c r="AH41" i="21" s="1"/>
  <c r="E42" i="21"/>
  <c r="L42" i="21"/>
  <c r="T42" i="21"/>
  <c r="V42" i="21"/>
  <c r="W42" i="21"/>
  <c r="X42" i="21"/>
  <c r="AB42" i="21"/>
  <c r="AE42" i="21"/>
  <c r="AF42" i="21"/>
  <c r="AG42" i="21"/>
  <c r="AH42" i="21"/>
  <c r="E43" i="21"/>
  <c r="L43" i="21"/>
  <c r="T43" i="21"/>
  <c r="V43" i="21"/>
  <c r="W43" i="21"/>
  <c r="X43" i="21"/>
  <c r="AB43" i="21"/>
  <c r="AC43" i="21"/>
  <c r="AD43" i="21"/>
  <c r="AE43" i="21"/>
  <c r="AF43" i="21" s="1"/>
  <c r="AG43" i="21"/>
  <c r="AH43" i="21" s="1"/>
  <c r="E44" i="21"/>
  <c r="L44" i="21"/>
  <c r="T44" i="21"/>
  <c r="V44" i="21"/>
  <c r="W44" i="21"/>
  <c r="X44" i="21" s="1"/>
  <c r="AB44" i="21"/>
  <c r="AD44" i="21" s="1"/>
  <c r="AE44" i="21"/>
  <c r="AF44" i="21"/>
  <c r="AG44" i="21"/>
  <c r="AH44" i="21"/>
  <c r="E45" i="21"/>
  <c r="L45" i="21"/>
  <c r="T45" i="21"/>
  <c r="V45" i="21" s="1"/>
  <c r="W45" i="21"/>
  <c r="X45" i="21"/>
  <c r="AB45" i="21"/>
  <c r="AD45" i="21" s="1"/>
  <c r="AC45" i="21"/>
  <c r="AE45" i="21"/>
  <c r="AF45" i="21"/>
  <c r="AG45" i="21"/>
  <c r="AH45" i="21" s="1"/>
  <c r="E46" i="21"/>
  <c r="L46" i="21"/>
  <c r="T46" i="21"/>
  <c r="V46" i="21" s="1"/>
  <c r="W46" i="21"/>
  <c r="X46" i="21"/>
  <c r="AB46" i="21"/>
  <c r="AD46" i="21" s="1"/>
  <c r="AC46" i="21"/>
  <c r="AE46" i="21"/>
  <c r="AF46" i="21"/>
  <c r="AG46" i="21"/>
  <c r="AH46" i="21"/>
  <c r="E47" i="21"/>
  <c r="L47" i="21"/>
  <c r="T47" i="21"/>
  <c r="V47" i="21" s="1"/>
  <c r="W47" i="21"/>
  <c r="X47" i="21"/>
  <c r="AB47" i="21"/>
  <c r="AC47" i="21"/>
  <c r="AD47" i="21"/>
  <c r="AE47" i="21"/>
  <c r="AF47" i="21"/>
  <c r="AG47" i="21"/>
  <c r="AH47" i="21" s="1"/>
  <c r="E48" i="21"/>
  <c r="L48" i="21"/>
  <c r="T48" i="21"/>
  <c r="V48" i="21" s="1"/>
  <c r="W48" i="21"/>
  <c r="X48" i="21" s="1"/>
  <c r="AB48" i="21"/>
  <c r="AC48" i="21" s="1"/>
  <c r="AD48" i="21"/>
  <c r="AE48" i="21"/>
  <c r="AF48" i="21"/>
  <c r="AG48" i="21"/>
  <c r="AH48" i="21" s="1"/>
  <c r="E49" i="21"/>
  <c r="L49" i="21"/>
  <c r="T49" i="21"/>
  <c r="V49" i="21"/>
  <c r="W49" i="21"/>
  <c r="X49" i="21"/>
  <c r="AB49" i="21"/>
  <c r="AC49" i="21" s="1"/>
  <c r="AE49" i="21"/>
  <c r="AF49" i="21" s="1"/>
  <c r="AG49" i="21"/>
  <c r="AH49" i="21" s="1"/>
  <c r="E50" i="21"/>
  <c r="L50" i="21"/>
  <c r="T50" i="21"/>
  <c r="V50" i="21" s="1"/>
  <c r="W50" i="21"/>
  <c r="X50" i="21" s="1"/>
  <c r="AB50" i="21"/>
  <c r="AC50" i="21" s="1"/>
  <c r="AD50" i="21"/>
  <c r="AE50" i="21"/>
  <c r="AF50" i="21"/>
  <c r="AG50" i="21"/>
  <c r="AH50" i="21" s="1"/>
  <c r="E51" i="21"/>
  <c r="L51" i="21"/>
  <c r="T51" i="21"/>
  <c r="V51" i="21"/>
  <c r="W51" i="21"/>
  <c r="X51" i="21"/>
  <c r="AB51" i="21"/>
  <c r="AD51" i="21" s="1"/>
  <c r="AE51" i="21"/>
  <c r="AF51" i="21" s="1"/>
  <c r="AG51" i="21"/>
  <c r="AH51" i="21"/>
  <c r="E52" i="21"/>
  <c r="L52" i="21"/>
  <c r="T52" i="21"/>
  <c r="V52" i="21" s="1"/>
  <c r="W52" i="21"/>
  <c r="X52" i="21" s="1"/>
  <c r="AB52" i="21"/>
  <c r="AC52" i="21" s="1"/>
  <c r="AD52" i="21"/>
  <c r="AE52" i="21"/>
  <c r="AF52" i="21"/>
  <c r="AG52" i="21"/>
  <c r="AH52" i="21" s="1"/>
  <c r="E53" i="21"/>
  <c r="L53" i="21"/>
  <c r="T53" i="21"/>
  <c r="V53" i="21"/>
  <c r="W53" i="21"/>
  <c r="X53" i="21"/>
  <c r="AB53" i="21"/>
  <c r="AD53" i="21" s="1"/>
  <c r="AE53" i="21"/>
  <c r="AF53" i="21" s="1"/>
  <c r="AG53" i="21"/>
  <c r="AH53" i="21"/>
  <c r="E54" i="21"/>
  <c r="L54" i="21"/>
  <c r="T54" i="21"/>
  <c r="V54" i="21" s="1"/>
  <c r="W54" i="21"/>
  <c r="X54" i="21" s="1"/>
  <c r="AB54" i="21"/>
  <c r="AC54" i="21" s="1"/>
  <c r="AD54" i="21"/>
  <c r="AE54" i="21"/>
  <c r="AF54" i="21"/>
  <c r="AG54" i="21"/>
  <c r="AH54" i="21"/>
  <c r="E55" i="21"/>
  <c r="L55" i="21"/>
  <c r="T55" i="21"/>
  <c r="V55" i="21"/>
  <c r="W55" i="21"/>
  <c r="X55" i="21"/>
  <c r="AB55" i="21"/>
  <c r="AC55" i="21"/>
  <c r="AD55" i="21"/>
  <c r="AE55" i="21"/>
  <c r="AF55" i="21" s="1"/>
  <c r="AG55" i="21"/>
  <c r="AH55" i="21" s="1"/>
  <c r="E56" i="21"/>
  <c r="L56" i="21"/>
  <c r="T56" i="21"/>
  <c r="V56" i="21" s="1"/>
  <c r="W56" i="21"/>
  <c r="X56" i="21" s="1"/>
  <c r="AB56" i="21"/>
  <c r="AC56" i="21" s="1"/>
  <c r="AD56" i="21"/>
  <c r="AE56" i="21"/>
  <c r="AF56" i="21"/>
  <c r="AG56" i="21"/>
  <c r="AH56" i="21" s="1"/>
  <c r="E57" i="21"/>
  <c r="L57" i="21"/>
  <c r="T57" i="21"/>
  <c r="V57" i="21"/>
  <c r="W57" i="21"/>
  <c r="X57" i="21"/>
  <c r="AB57" i="21"/>
  <c r="AE57" i="21"/>
  <c r="AF57" i="21" s="1"/>
  <c r="AG57" i="21"/>
  <c r="AH57" i="21" s="1"/>
  <c r="E58" i="21"/>
  <c r="L58" i="21"/>
  <c r="T58" i="21"/>
  <c r="V58" i="21" s="1"/>
  <c r="W58" i="21"/>
  <c r="X58" i="21"/>
  <c r="AB58" i="21"/>
  <c r="AC58" i="21" s="1"/>
  <c r="AD58" i="21"/>
  <c r="AE58" i="21"/>
  <c r="AF58" i="21" s="1"/>
  <c r="AG58" i="21"/>
  <c r="AH58" i="21" s="1"/>
  <c r="I59" i="21"/>
  <c r="I60" i="21" s="1"/>
  <c r="C66" i="21"/>
  <c r="D66" i="21"/>
  <c r="E66" i="21"/>
  <c r="I66" i="21"/>
  <c r="J66" i="21"/>
  <c r="M66" i="21"/>
  <c r="T66" i="21"/>
  <c r="U66" i="21"/>
  <c r="V66" i="21"/>
  <c r="X66" i="21"/>
  <c r="AU66" i="21"/>
  <c r="AV66" i="21" s="1"/>
  <c r="AX66" i="21"/>
  <c r="BE66" i="21"/>
  <c r="BF66" i="21"/>
  <c r="BH66" i="21"/>
  <c r="BN66" i="21"/>
  <c r="D67" i="21"/>
  <c r="AG67" i="21" s="1"/>
  <c r="AH67" i="21" s="1"/>
  <c r="E67" i="21"/>
  <c r="I67" i="21"/>
  <c r="J67" i="21"/>
  <c r="M67" i="21"/>
  <c r="AX67" i="21"/>
  <c r="BF67" i="21"/>
  <c r="BH67" i="21"/>
  <c r="C68" i="21"/>
  <c r="D68" i="21"/>
  <c r="E68" i="21"/>
  <c r="I68" i="21"/>
  <c r="J68" i="21"/>
  <c r="L68" i="21"/>
  <c r="M68" i="21"/>
  <c r="T68" i="21"/>
  <c r="U68" i="21"/>
  <c r="AF68" i="21"/>
  <c r="AG68" i="21"/>
  <c r="AH68" i="21" s="1"/>
  <c r="AQ68" i="21"/>
  <c r="AR68" i="21"/>
  <c r="AS68" i="21"/>
  <c r="AT68" i="21" s="1"/>
  <c r="AX68" i="21"/>
  <c r="BE68" i="21"/>
  <c r="BM68" i="21"/>
  <c r="C69" i="21"/>
  <c r="D69" i="21"/>
  <c r="H69" i="21"/>
  <c r="AN69" i="21" s="1"/>
  <c r="AO69" i="21" s="1"/>
  <c r="I69" i="21"/>
  <c r="J69" i="21"/>
  <c r="M69" i="21"/>
  <c r="T69" i="21"/>
  <c r="U69" i="21"/>
  <c r="V69" i="21"/>
  <c r="X69" i="21"/>
  <c r="AF69" i="21"/>
  <c r="AG69" i="21"/>
  <c r="AH69" i="21" s="1"/>
  <c r="AP69" i="21"/>
  <c r="AQ69" i="21"/>
  <c r="AR69" i="21"/>
  <c r="AS69" i="21"/>
  <c r="AT69" i="21" s="1"/>
  <c r="AW69" i="21"/>
  <c r="BE70" i="21" s="1"/>
  <c r="AX69" i="21"/>
  <c r="E69" i="21" s="1"/>
  <c r="BE69" i="21"/>
  <c r="BM69" i="21"/>
  <c r="BN69" i="21"/>
  <c r="C70" i="21"/>
  <c r="D70" i="21"/>
  <c r="AW70" i="21" s="1"/>
  <c r="H70" i="21"/>
  <c r="I70" i="21"/>
  <c r="J70" i="21"/>
  <c r="L70" i="21"/>
  <c r="M70" i="21"/>
  <c r="T70" i="21"/>
  <c r="U70" i="21"/>
  <c r="W70" i="21"/>
  <c r="AB70" i="21"/>
  <c r="AC70" i="21"/>
  <c r="AD70" i="21" s="1"/>
  <c r="AE70" i="21" s="1"/>
  <c r="AF70" i="21"/>
  <c r="AG70" i="21"/>
  <c r="AH70" i="21" s="1"/>
  <c r="AI70" i="21"/>
  <c r="AJ70" i="21" s="1"/>
  <c r="AN70" i="21"/>
  <c r="AO70" i="21" s="1"/>
  <c r="AQ70" i="21"/>
  <c r="AR70" i="21" s="1"/>
  <c r="AS70" i="21"/>
  <c r="AT70" i="21" s="1"/>
  <c r="AU70" i="21"/>
  <c r="AV70" i="21" s="1"/>
  <c r="AX70" i="21"/>
  <c r="E70" i="21" s="1"/>
  <c r="BG70" i="21"/>
  <c r="BM70" i="21"/>
  <c r="BS70" i="21"/>
  <c r="D71" i="21"/>
  <c r="E71" i="21"/>
  <c r="H71" i="21"/>
  <c r="I71" i="21"/>
  <c r="J71" i="21"/>
  <c r="L71" i="21"/>
  <c r="M71" i="21"/>
  <c r="U71" i="21"/>
  <c r="V71" i="21"/>
  <c r="W71" i="21"/>
  <c r="X71" i="21"/>
  <c r="AB71" i="21"/>
  <c r="AC71" i="21"/>
  <c r="AD71" i="21" s="1"/>
  <c r="AE71" i="21" s="1"/>
  <c r="AF71" i="21"/>
  <c r="AG71" i="21"/>
  <c r="AH71" i="21" s="1"/>
  <c r="AI71" i="21"/>
  <c r="AJ71" i="21" s="1"/>
  <c r="AN71" i="21"/>
  <c r="AP71" i="21" s="1"/>
  <c r="AO71" i="21"/>
  <c r="AQ71" i="21"/>
  <c r="AR71" i="21"/>
  <c r="AS71" i="21"/>
  <c r="AT71" i="21" s="1"/>
  <c r="AU71" i="21"/>
  <c r="AV71" i="21" s="1"/>
  <c r="AW71" i="21"/>
  <c r="AX71" i="21"/>
  <c r="BF71" i="21"/>
  <c r="BH71" i="21"/>
  <c r="BM71" i="21"/>
  <c r="C72" i="21"/>
  <c r="D72" i="21"/>
  <c r="H72" i="21"/>
  <c r="I72" i="21"/>
  <c r="J72" i="21"/>
  <c r="L72" i="21"/>
  <c r="M72" i="21"/>
  <c r="T72" i="21"/>
  <c r="U72" i="21"/>
  <c r="V72" i="21"/>
  <c r="W72" i="21"/>
  <c r="X72" i="21"/>
  <c r="AB72" i="21"/>
  <c r="AC72" i="21"/>
  <c r="AD72" i="21" s="1"/>
  <c r="AE72" i="21" s="1"/>
  <c r="AF72" i="21"/>
  <c r="AG72" i="21"/>
  <c r="AH72" i="21" s="1"/>
  <c r="AI72" i="21"/>
  <c r="AJ72" i="21"/>
  <c r="AN72" i="21"/>
  <c r="AO72" i="21" s="1"/>
  <c r="AP72" i="21"/>
  <c r="AQ72" i="21"/>
  <c r="AR72" i="21"/>
  <c r="AS72" i="21"/>
  <c r="AT72" i="21" s="1"/>
  <c r="AU72" i="21"/>
  <c r="AV72" i="21"/>
  <c r="AW72" i="21"/>
  <c r="BH70" i="21" s="1"/>
  <c r="AX72" i="21"/>
  <c r="E72" i="21" s="1"/>
  <c r="BE72" i="21"/>
  <c r="BF72" i="21"/>
  <c r="BH72" i="21"/>
  <c r="BM72" i="21"/>
  <c r="BN72" i="21"/>
  <c r="D73" i="21"/>
  <c r="H73" i="21"/>
  <c r="AN73" i="21" s="1"/>
  <c r="I73" i="21"/>
  <c r="J73" i="21"/>
  <c r="M73" i="21"/>
  <c r="AX73" i="21"/>
  <c r="E73" i="21" s="1"/>
  <c r="BE73" i="21"/>
  <c r="BF73" i="21"/>
  <c r="BH73" i="21"/>
  <c r="BM73" i="21"/>
  <c r="D74" i="21"/>
  <c r="AC74" i="21" s="1"/>
  <c r="AD74" i="21" s="1"/>
  <c r="AE74" i="21" s="1"/>
  <c r="I74" i="21"/>
  <c r="J74" i="21"/>
  <c r="M74" i="21"/>
  <c r="T74" i="21"/>
  <c r="U74" i="21"/>
  <c r="X74" i="21"/>
  <c r="AF74" i="21"/>
  <c r="AG74" i="21"/>
  <c r="AH74" i="21" s="1"/>
  <c r="AI74" i="21"/>
  <c r="AJ74" i="21" s="1"/>
  <c r="AQ74" i="21"/>
  <c r="AR74" i="21" s="1"/>
  <c r="AU74" i="21"/>
  <c r="AV74" i="21"/>
  <c r="AX74" i="21"/>
  <c r="E74" i="21" s="1"/>
  <c r="BE74" i="21"/>
  <c r="BF74" i="21"/>
  <c r="BH74" i="21"/>
  <c r="BM74" i="21"/>
  <c r="BN74" i="21"/>
  <c r="C75" i="21"/>
  <c r="D75" i="21"/>
  <c r="E75" i="21"/>
  <c r="I75" i="21"/>
  <c r="J75" i="21"/>
  <c r="M75" i="21"/>
  <c r="V75" i="21"/>
  <c r="AG75" i="21"/>
  <c r="AH75" i="21" s="1"/>
  <c r="AX75" i="21"/>
  <c r="BF75" i="21"/>
  <c r="BH75" i="21"/>
  <c r="BN75" i="21"/>
  <c r="D76" i="21"/>
  <c r="I76" i="21"/>
  <c r="J76" i="21"/>
  <c r="M76" i="21"/>
  <c r="W76" i="21"/>
  <c r="AG76" i="21"/>
  <c r="AH76" i="21" s="1"/>
  <c r="AI76" i="21"/>
  <c r="AJ76" i="21" s="1"/>
  <c r="AX76" i="21"/>
  <c r="E76" i="21" s="1"/>
  <c r="BE76" i="21"/>
  <c r="BH76" i="21"/>
  <c r="BM76" i="21"/>
  <c r="BS76" i="21"/>
  <c r="C77" i="21"/>
  <c r="D77" i="21"/>
  <c r="E77" i="21"/>
  <c r="H77" i="21"/>
  <c r="AN77" i="21" s="1"/>
  <c r="I77" i="21"/>
  <c r="J77" i="21"/>
  <c r="M77" i="21"/>
  <c r="T77" i="21"/>
  <c r="U77" i="21"/>
  <c r="V77" i="21"/>
  <c r="W77" i="21"/>
  <c r="X77" i="21"/>
  <c r="AB77" i="21"/>
  <c r="AF77" i="21"/>
  <c r="AG77" i="21"/>
  <c r="AH77" i="21" s="1"/>
  <c r="AI77" i="21"/>
  <c r="AJ77" i="21" s="1"/>
  <c r="AO77" i="21"/>
  <c r="AP77" i="21"/>
  <c r="AQ77" i="21"/>
  <c r="AR77" i="21" s="1"/>
  <c r="AS77" i="21"/>
  <c r="AT77" i="21" s="1"/>
  <c r="AU77" i="21"/>
  <c r="AV77" i="21" s="1"/>
  <c r="AW77" i="21"/>
  <c r="AX77" i="21"/>
  <c r="BE77" i="21"/>
  <c r="BH77" i="21"/>
  <c r="BM77" i="21"/>
  <c r="BN77" i="21"/>
  <c r="C78" i="21"/>
  <c r="D78" i="21"/>
  <c r="E78" i="21"/>
  <c r="H78" i="21"/>
  <c r="AN78" i="21" s="1"/>
  <c r="I78" i="21"/>
  <c r="J78" i="21"/>
  <c r="L78" i="21"/>
  <c r="M78" i="21"/>
  <c r="T78" i="21"/>
  <c r="U78" i="21"/>
  <c r="V78" i="21"/>
  <c r="W78" i="21"/>
  <c r="X78" i="21"/>
  <c r="AB78" i="21"/>
  <c r="AC78" i="21"/>
  <c r="AD78" i="21" s="1"/>
  <c r="AE78" i="21"/>
  <c r="AF78" i="21"/>
  <c r="AG78" i="21"/>
  <c r="AH78" i="21"/>
  <c r="AI78" i="21"/>
  <c r="AJ78" i="21" s="1"/>
  <c r="AQ78" i="21"/>
  <c r="AR78" i="21" s="1"/>
  <c r="AS78" i="21"/>
  <c r="AT78" i="21" s="1"/>
  <c r="AU78" i="21"/>
  <c r="AV78" i="21" s="1"/>
  <c r="AW78" i="21"/>
  <c r="BN67" i="21" s="1"/>
  <c r="AX78" i="21"/>
  <c r="BE78" i="21"/>
  <c r="BF78" i="21"/>
  <c r="BH78" i="21"/>
  <c r="BM78" i="21"/>
  <c r="BN78" i="21"/>
  <c r="C79" i="21"/>
  <c r="D79" i="21"/>
  <c r="I79" i="21"/>
  <c r="J79" i="21"/>
  <c r="L79" i="21"/>
  <c r="M79" i="21"/>
  <c r="T79" i="21"/>
  <c r="U79" i="21"/>
  <c r="V79" i="21"/>
  <c r="AF79" i="21"/>
  <c r="AG79" i="21"/>
  <c r="AH79" i="21" s="1"/>
  <c r="AI79" i="21"/>
  <c r="AJ79" i="21" s="1"/>
  <c r="AQ79" i="21"/>
  <c r="AR79" i="21" s="1"/>
  <c r="AU79" i="21"/>
  <c r="AV79" i="21" s="1"/>
  <c r="AX79" i="21"/>
  <c r="E79" i="21" s="1"/>
  <c r="BE79" i="21"/>
  <c r="BF79" i="21"/>
  <c r="BH79" i="21"/>
  <c r="BM79" i="21"/>
  <c r="BN79" i="21"/>
  <c r="C80" i="21"/>
  <c r="D80" i="21"/>
  <c r="I80" i="21"/>
  <c r="J80" i="21"/>
  <c r="L80" i="21"/>
  <c r="M80" i="21"/>
  <c r="T80" i="21"/>
  <c r="U80" i="21"/>
  <c r="AC80" i="21"/>
  <c r="AD80" i="21"/>
  <c r="AE80" i="21"/>
  <c r="AF80" i="21"/>
  <c r="AG80" i="21"/>
  <c r="AH80" i="21" s="1"/>
  <c r="AQ80" i="21"/>
  <c r="AR80" i="21" s="1"/>
  <c r="AS80" i="21"/>
  <c r="AT80" i="21" s="1"/>
  <c r="AX80" i="21"/>
  <c r="E80" i="21" s="1"/>
  <c r="BF80" i="21"/>
  <c r="BH80" i="21"/>
  <c r="BN80" i="21"/>
  <c r="BS80" i="21"/>
  <c r="C81" i="21"/>
  <c r="D81" i="21"/>
  <c r="H81" i="21"/>
  <c r="I81" i="21"/>
  <c r="J81" i="21"/>
  <c r="L81" i="21"/>
  <c r="M81" i="21"/>
  <c r="T81" i="21"/>
  <c r="U81" i="21"/>
  <c r="V81" i="21"/>
  <c r="W81" i="21"/>
  <c r="X81" i="21"/>
  <c r="AC81" i="21"/>
  <c r="AD81" i="21" s="1"/>
  <c r="AE81" i="21" s="1"/>
  <c r="AF81" i="21"/>
  <c r="AG81" i="21"/>
  <c r="AH81" i="21"/>
  <c r="AI81" i="21"/>
  <c r="AJ81" i="21" s="1"/>
  <c r="AN81" i="21"/>
  <c r="AP81" i="21" s="1"/>
  <c r="AO81" i="21"/>
  <c r="AQ81" i="21"/>
  <c r="AR81" i="21" s="1"/>
  <c r="AS81" i="21"/>
  <c r="AT81" i="21"/>
  <c r="AW81" i="21"/>
  <c r="AX81" i="21"/>
  <c r="E81" i="21" s="1"/>
  <c r="BE81" i="21"/>
  <c r="BH81" i="21"/>
  <c r="BM81" i="21"/>
  <c r="BR81" i="21"/>
  <c r="BS81" i="21"/>
  <c r="D82" i="21"/>
  <c r="W82" i="21" s="1"/>
  <c r="H82" i="21"/>
  <c r="AN82" i="21" s="1"/>
  <c r="I82" i="21"/>
  <c r="J82" i="21"/>
  <c r="M82" i="21"/>
  <c r="T82" i="21"/>
  <c r="V82" i="21"/>
  <c r="X82" i="21"/>
  <c r="AB82" i="21"/>
  <c r="AF82" i="21"/>
  <c r="AQ82" i="21"/>
  <c r="AR82" i="21" s="1"/>
  <c r="AW82" i="21"/>
  <c r="AX82" i="21"/>
  <c r="E82" i="21" s="1"/>
  <c r="BE82" i="21"/>
  <c r="BF82" i="21"/>
  <c r="BH82" i="21"/>
  <c r="BM82" i="21"/>
  <c r="BR82" i="21"/>
  <c r="BS82" i="21"/>
  <c r="D83" i="21"/>
  <c r="AW83" i="21" s="1"/>
  <c r="BS71" i="21" s="1"/>
  <c r="H83" i="21"/>
  <c r="AN83" i="21" s="1"/>
  <c r="I83" i="21"/>
  <c r="J83" i="21"/>
  <c r="L83" i="21"/>
  <c r="M83" i="21"/>
  <c r="U83" i="21"/>
  <c r="W83" i="21"/>
  <c r="X83" i="21"/>
  <c r="AB83" i="21"/>
  <c r="AC83" i="21"/>
  <c r="AD83" i="21" s="1"/>
  <c r="AE83" i="21" s="1"/>
  <c r="AG83" i="21"/>
  <c r="AH83" i="21" s="1"/>
  <c r="AI83" i="21"/>
  <c r="AJ83" i="21" s="1"/>
  <c r="AQ83" i="21"/>
  <c r="AR83" i="21" s="1"/>
  <c r="AS83" i="21"/>
  <c r="AT83" i="21" s="1"/>
  <c r="AU83" i="21"/>
  <c r="AV83" i="21"/>
  <c r="AX83" i="21"/>
  <c r="E83" i="21" s="1"/>
  <c r="BE83" i="21"/>
  <c r="BF83" i="21"/>
  <c r="BH83" i="21"/>
  <c r="BM83" i="21"/>
  <c r="BN83" i="21"/>
  <c r="BR83" i="21"/>
  <c r="BS83" i="21"/>
  <c r="D84" i="21"/>
  <c r="E84" i="21"/>
  <c r="I84" i="21"/>
  <c r="J84" i="21"/>
  <c r="M84" i="21"/>
  <c r="W84" i="21"/>
  <c r="X84" i="21"/>
  <c r="AB84" i="21"/>
  <c r="AX84" i="21"/>
  <c r="BE84" i="21"/>
  <c r="BF84" i="21"/>
  <c r="BH84" i="21"/>
  <c r="BM84" i="21"/>
  <c r="BN84" i="21"/>
  <c r="BR84" i="21"/>
  <c r="BS84" i="21"/>
  <c r="C85" i="21"/>
  <c r="D85" i="21"/>
  <c r="H85" i="21"/>
  <c r="AN85" i="21" s="1"/>
  <c r="I85" i="21"/>
  <c r="J85" i="21"/>
  <c r="L85" i="21"/>
  <c r="M85" i="21"/>
  <c r="T85" i="21"/>
  <c r="U85" i="21"/>
  <c r="V85" i="21"/>
  <c r="W85" i="21"/>
  <c r="X85" i="21"/>
  <c r="AB85" i="21"/>
  <c r="AC85" i="21"/>
  <c r="AD85" i="21"/>
  <c r="AE85" i="21" s="1"/>
  <c r="AF85" i="21"/>
  <c r="AG85" i="21"/>
  <c r="AH85" i="21" s="1"/>
  <c r="AI85" i="21"/>
  <c r="AJ85" i="21"/>
  <c r="AQ85" i="21"/>
  <c r="AR85" i="21" s="1"/>
  <c r="AS85" i="21"/>
  <c r="AT85" i="21" s="1"/>
  <c r="AU85" i="21"/>
  <c r="AV85" i="21" s="1"/>
  <c r="AW85" i="21"/>
  <c r="AX85" i="21"/>
  <c r="E85" i="21" s="1"/>
  <c r="BE85" i="21"/>
  <c r="BF85" i="21"/>
  <c r="BH85" i="21"/>
  <c r="BM85" i="21"/>
  <c r="BN85" i="21"/>
  <c r="BR85" i="21"/>
  <c r="BS85" i="21"/>
  <c r="E103" i="21"/>
  <c r="E104" i="21"/>
  <c r="E105" i="21"/>
  <c r="E106" i="21"/>
  <c r="E107" i="21"/>
  <c r="E109" i="21"/>
  <c r="E110" i="21"/>
  <c r="E111" i="21"/>
  <c r="E113" i="21"/>
  <c r="C2" i="22"/>
  <c r="L11" i="22"/>
  <c r="M11" i="22"/>
  <c r="N11" i="22"/>
  <c r="T11" i="22"/>
  <c r="V11" i="22"/>
  <c r="W11" i="22"/>
  <c r="X11" i="22" s="1"/>
  <c r="AB11" i="22"/>
  <c r="AE11" i="22"/>
  <c r="AF11" i="22"/>
  <c r="AG11" i="22"/>
  <c r="AH11" i="22"/>
  <c r="AI11" i="22"/>
  <c r="AJ11" i="22" a="1"/>
  <c r="AJ11" i="22" s="1"/>
  <c r="AR11" i="22"/>
  <c r="L12" i="22"/>
  <c r="M12" i="22"/>
  <c r="N12" i="22"/>
  <c r="T12" i="22"/>
  <c r="V12" i="22"/>
  <c r="W12" i="22"/>
  <c r="X12" i="22" s="1"/>
  <c r="AB12" i="22"/>
  <c r="AC12" i="22"/>
  <c r="AD12" i="22"/>
  <c r="AE12" i="22"/>
  <c r="AF12" i="22"/>
  <c r="AG12" i="22"/>
  <c r="AH12" i="22"/>
  <c r="AI12" i="22"/>
  <c r="AR12" i="22"/>
  <c r="L13" i="22"/>
  <c r="M13" i="22"/>
  <c r="N13" i="22"/>
  <c r="T13" i="22"/>
  <c r="V13" i="22"/>
  <c r="W13" i="22"/>
  <c r="X13" i="22" s="1"/>
  <c r="AB13" i="22"/>
  <c r="AC13" i="22"/>
  <c r="AD13" i="22"/>
  <c r="AE13" i="22"/>
  <c r="AF13" i="22"/>
  <c r="AG13" i="22"/>
  <c r="AH13" i="22"/>
  <c r="AI13" i="22"/>
  <c r="AR13" i="22"/>
  <c r="L14" i="22"/>
  <c r="M14" i="22"/>
  <c r="N14" i="22"/>
  <c r="T14" i="22"/>
  <c r="V14" i="22" s="1"/>
  <c r="W14" i="22"/>
  <c r="X14" i="22" s="1"/>
  <c r="AB14" i="22"/>
  <c r="AC14" i="22"/>
  <c r="AD14" i="22"/>
  <c r="AE14" i="22"/>
  <c r="AF14" i="22"/>
  <c r="AG14" i="22"/>
  <c r="AI14" i="22"/>
  <c r="AR14" i="22"/>
  <c r="L15" i="22"/>
  <c r="M15" i="22"/>
  <c r="N15" i="22"/>
  <c r="T15" i="22"/>
  <c r="V15" i="22"/>
  <c r="W15" i="22"/>
  <c r="X15" i="22" s="1"/>
  <c r="AB15" i="22"/>
  <c r="AC15" i="22"/>
  <c r="AD15" i="22"/>
  <c r="AE15" i="22"/>
  <c r="AF15" i="22"/>
  <c r="AG15" i="22"/>
  <c r="AH15" i="22"/>
  <c r="AI15" i="22"/>
  <c r="AR15" i="22"/>
  <c r="L16" i="22"/>
  <c r="M16" i="22"/>
  <c r="N16" i="22"/>
  <c r="T16" i="22"/>
  <c r="V16" i="22" s="1"/>
  <c r="W16" i="22"/>
  <c r="X16" i="22" s="1"/>
  <c r="AB16" i="22"/>
  <c r="AC16" i="22"/>
  <c r="AD16" i="22"/>
  <c r="AE16" i="22"/>
  <c r="AF16" i="22"/>
  <c r="AG16" i="22"/>
  <c r="AI16" i="22"/>
  <c r="AR16" i="22"/>
  <c r="L17" i="22"/>
  <c r="M17" i="22"/>
  <c r="N17" i="22"/>
  <c r="T17" i="22"/>
  <c r="W17" i="22"/>
  <c r="X17" i="22" s="1"/>
  <c r="AB17" i="22"/>
  <c r="AC17" i="22"/>
  <c r="AD17" i="22"/>
  <c r="AE17" i="22"/>
  <c r="AF17" i="22"/>
  <c r="AG17" i="22"/>
  <c r="AI17" i="22"/>
  <c r="AR17" i="22"/>
  <c r="L18" i="22"/>
  <c r="M18" i="22"/>
  <c r="N18" i="22"/>
  <c r="T18" i="22"/>
  <c r="V18" i="22"/>
  <c r="W18" i="22"/>
  <c r="X18" i="22" s="1"/>
  <c r="AB18" i="22"/>
  <c r="AC18" i="22"/>
  <c r="AD18" i="22"/>
  <c r="AE18" i="22"/>
  <c r="AF18" i="22"/>
  <c r="AG18" i="22"/>
  <c r="AH18" i="22"/>
  <c r="AI18" i="22"/>
  <c r="AR18" i="22"/>
  <c r="L19" i="22"/>
  <c r="M19" i="22"/>
  <c r="N19" i="22"/>
  <c r="T19" i="22"/>
  <c r="V19" i="22"/>
  <c r="W19" i="22"/>
  <c r="X19" i="22" s="1"/>
  <c r="AB19" i="22"/>
  <c r="AC19" i="22"/>
  <c r="AD19" i="22"/>
  <c r="AE19" i="22"/>
  <c r="AF19" i="22"/>
  <c r="AG19" i="22"/>
  <c r="AH19" i="22"/>
  <c r="AI19" i="22"/>
  <c r="AR19" i="22"/>
  <c r="L20" i="22"/>
  <c r="M20" i="22"/>
  <c r="N20" i="22"/>
  <c r="T20" i="22"/>
  <c r="V20" i="22"/>
  <c r="W20" i="22"/>
  <c r="X20" i="22" s="1"/>
  <c r="AB20" i="22"/>
  <c r="AC20" i="22"/>
  <c r="AD20" i="22"/>
  <c r="AE20" i="22"/>
  <c r="AF20" i="22"/>
  <c r="AG20" i="22"/>
  <c r="AH20" i="22"/>
  <c r="AI20" i="22"/>
  <c r="AR20" i="22"/>
  <c r="L21" i="22"/>
  <c r="M21" i="22"/>
  <c r="N21" i="22"/>
  <c r="T21" i="22"/>
  <c r="V21" i="22"/>
  <c r="W21" i="22"/>
  <c r="X21" i="22" s="1"/>
  <c r="AB21" i="22"/>
  <c r="AC21" i="22"/>
  <c r="AD21" i="22"/>
  <c r="AE21" i="22"/>
  <c r="AF21" i="22"/>
  <c r="AG21" i="22"/>
  <c r="AH21" i="22"/>
  <c r="AI21" i="22"/>
  <c r="AR21" i="22"/>
  <c r="L22" i="22"/>
  <c r="M22" i="22"/>
  <c r="N22" i="22"/>
  <c r="T22" i="22"/>
  <c r="V22" i="22" s="1"/>
  <c r="W22" i="22"/>
  <c r="X22" i="22" s="1"/>
  <c r="AB22" i="22"/>
  <c r="AC22" i="22"/>
  <c r="AD22" i="22"/>
  <c r="AE22" i="22"/>
  <c r="AF22" i="22"/>
  <c r="AG22" i="22"/>
  <c r="AI22" i="22"/>
  <c r="AR22" i="22"/>
  <c r="L23" i="22"/>
  <c r="M23" i="22"/>
  <c r="N23" i="22"/>
  <c r="T23" i="22"/>
  <c r="V23" i="22"/>
  <c r="W23" i="22"/>
  <c r="X23" i="22" s="1"/>
  <c r="AB23" i="22"/>
  <c r="AC23" i="22"/>
  <c r="AD23" i="22"/>
  <c r="AE23" i="22"/>
  <c r="AF23" i="22"/>
  <c r="AG23" i="22"/>
  <c r="AH23" i="22"/>
  <c r="AI23" i="22"/>
  <c r="AR23" i="22"/>
  <c r="L24" i="22"/>
  <c r="M24" i="22"/>
  <c r="N24" i="22"/>
  <c r="T24" i="22"/>
  <c r="V24" i="22" s="1"/>
  <c r="W24" i="22"/>
  <c r="X24" i="22" s="1"/>
  <c r="AB24" i="22"/>
  <c r="AC24" i="22"/>
  <c r="AD24" i="22"/>
  <c r="AE24" i="22"/>
  <c r="AF24" i="22"/>
  <c r="AG24" i="22"/>
  <c r="AI24" i="22"/>
  <c r="AR24" i="22"/>
  <c r="L25" i="22"/>
  <c r="M25" i="22"/>
  <c r="N25" i="22"/>
  <c r="T25" i="22"/>
  <c r="W25" i="22"/>
  <c r="X25" i="22" s="1"/>
  <c r="AB25" i="22"/>
  <c r="AC25" i="22"/>
  <c r="AD25" i="22"/>
  <c r="AE25" i="22"/>
  <c r="AF25" i="22"/>
  <c r="AG25" i="22"/>
  <c r="AI25" i="22"/>
  <c r="AR25" i="22"/>
  <c r="L26" i="22"/>
  <c r="M26" i="22"/>
  <c r="N26" i="22"/>
  <c r="T26" i="22"/>
  <c r="V26" i="22" s="1"/>
  <c r="W26" i="22"/>
  <c r="X26" i="22" s="1"/>
  <c r="AB26" i="22"/>
  <c r="AC26" i="22"/>
  <c r="AD26" i="22"/>
  <c r="AE26" i="22"/>
  <c r="AF26" i="22"/>
  <c r="AG26" i="22"/>
  <c r="AI26" i="22"/>
  <c r="AR26" i="22"/>
  <c r="L27" i="22"/>
  <c r="M27" i="22"/>
  <c r="N27" i="22"/>
  <c r="T27" i="22"/>
  <c r="W27" i="22"/>
  <c r="X27" i="22" s="1"/>
  <c r="AB27" i="22"/>
  <c r="AC27" i="22"/>
  <c r="AD27" i="22"/>
  <c r="AE27" i="22"/>
  <c r="AF27" i="22"/>
  <c r="AG27" i="22"/>
  <c r="AI27" i="22"/>
  <c r="AR27" i="22"/>
  <c r="L28" i="22"/>
  <c r="M28" i="22"/>
  <c r="N28" i="22"/>
  <c r="T28" i="22"/>
  <c r="V28" i="22"/>
  <c r="W28" i="22"/>
  <c r="X28" i="22" s="1"/>
  <c r="AB28" i="22"/>
  <c r="AC28" i="22"/>
  <c r="AD28" i="22"/>
  <c r="AE28" i="22"/>
  <c r="AF28" i="22"/>
  <c r="AG28" i="22"/>
  <c r="AH28" i="22"/>
  <c r="AI28" i="22"/>
  <c r="AR28" i="22"/>
  <c r="L29" i="22"/>
  <c r="M29" i="22"/>
  <c r="N29" i="22"/>
  <c r="T29" i="22"/>
  <c r="V29" i="22"/>
  <c r="W29" i="22"/>
  <c r="X29" i="22" s="1"/>
  <c r="AB29" i="22"/>
  <c r="AD29" i="22" s="1"/>
  <c r="AC29" i="22"/>
  <c r="AE29" i="22"/>
  <c r="AF29" i="22"/>
  <c r="AG29" i="22"/>
  <c r="AH29" i="22"/>
  <c r="AI29" i="22"/>
  <c r="AR29" i="22"/>
  <c r="L30" i="22"/>
  <c r="M30" i="22"/>
  <c r="N30" i="22"/>
  <c r="T30" i="22"/>
  <c r="V30" i="22"/>
  <c r="W30" i="22"/>
  <c r="X30" i="22" s="1"/>
  <c r="AB30" i="22"/>
  <c r="AD30" i="22" s="1"/>
  <c r="AC30" i="22"/>
  <c r="AE30" i="22"/>
  <c r="AF30" i="22"/>
  <c r="AG30" i="22"/>
  <c r="AH30" i="22"/>
  <c r="AI30" i="22"/>
  <c r="AR30" i="22"/>
  <c r="I31" i="22"/>
  <c r="J31" i="22"/>
  <c r="K31" i="22"/>
  <c r="M31" i="22"/>
  <c r="O32" i="22"/>
  <c r="E39" i="22"/>
  <c r="L39" i="22"/>
  <c r="T39" i="22"/>
  <c r="V39" i="22"/>
  <c r="W39" i="22"/>
  <c r="X39" i="22" s="1"/>
  <c r="AB39" i="22"/>
  <c r="AC39" i="22" s="1"/>
  <c r="AD39" i="22"/>
  <c r="AE39" i="22"/>
  <c r="AF39" i="22"/>
  <c r="AG39" i="22"/>
  <c r="AH39" i="22" s="1"/>
  <c r="AI39" i="22" a="1"/>
  <c r="AI39" i="22"/>
  <c r="E40" i="22"/>
  <c r="L40" i="22"/>
  <c r="T40" i="22"/>
  <c r="V40" i="22" s="1"/>
  <c r="W40" i="22"/>
  <c r="X40" i="22" s="1"/>
  <c r="AB40" i="22"/>
  <c r="AD40" i="22" s="1"/>
  <c r="AC40" i="22"/>
  <c r="AE40" i="22"/>
  <c r="AF40" i="22" s="1"/>
  <c r="AG40" i="22"/>
  <c r="AH40" i="22"/>
  <c r="E41" i="22"/>
  <c r="L41" i="22"/>
  <c r="T41" i="22"/>
  <c r="V41" i="22" s="1"/>
  <c r="W41" i="22"/>
  <c r="X41" i="22"/>
  <c r="AB41" i="22"/>
  <c r="AD41" i="22" s="1"/>
  <c r="AE41" i="22"/>
  <c r="AF41" i="22"/>
  <c r="AG41" i="22"/>
  <c r="AH41" i="22"/>
  <c r="E42" i="22"/>
  <c r="L42" i="22"/>
  <c r="T42" i="22"/>
  <c r="V42" i="22" s="1"/>
  <c r="W42" i="22"/>
  <c r="X42" i="22"/>
  <c r="AB42" i="22"/>
  <c r="AC42" i="22"/>
  <c r="AD42" i="22"/>
  <c r="AE42" i="22"/>
  <c r="AF42" i="22" s="1"/>
  <c r="AG42" i="22"/>
  <c r="AH42" i="22" s="1"/>
  <c r="E43" i="22"/>
  <c r="L43" i="22"/>
  <c r="T43" i="22"/>
  <c r="V43" i="22"/>
  <c r="W43" i="22"/>
  <c r="X43" i="22"/>
  <c r="AB43" i="22"/>
  <c r="AC43" i="22" s="1"/>
  <c r="AD43" i="22"/>
  <c r="AE43" i="22"/>
  <c r="AF43" i="22"/>
  <c r="AG43" i="22"/>
  <c r="AH43" i="22"/>
  <c r="E44" i="22"/>
  <c r="L44" i="22"/>
  <c r="T44" i="22"/>
  <c r="V44" i="22"/>
  <c r="W44" i="22"/>
  <c r="X44" i="22"/>
  <c r="AB44" i="22"/>
  <c r="AC44" i="22"/>
  <c r="AD44" i="22"/>
  <c r="AE44" i="22"/>
  <c r="AF44" i="22" s="1"/>
  <c r="AG44" i="22"/>
  <c r="AH44" i="22" s="1"/>
  <c r="E45" i="22"/>
  <c r="L45" i="22"/>
  <c r="T45" i="22"/>
  <c r="V45" i="22" s="1"/>
  <c r="W45" i="22"/>
  <c r="X45" i="22" s="1"/>
  <c r="AB45" i="22"/>
  <c r="AC45" i="22" s="1"/>
  <c r="AE45" i="22"/>
  <c r="AF45" i="22" s="1"/>
  <c r="AG45" i="22"/>
  <c r="AH45" i="22" s="1"/>
  <c r="E46" i="22"/>
  <c r="L46" i="22"/>
  <c r="T46" i="22"/>
  <c r="V46" i="22"/>
  <c r="W46" i="22"/>
  <c r="X46" i="22" s="1"/>
  <c r="AB46" i="22"/>
  <c r="AE46" i="22"/>
  <c r="AF46" i="22" s="1"/>
  <c r="AG46" i="22"/>
  <c r="AH46" i="22" s="1"/>
  <c r="E47" i="22"/>
  <c r="L47" i="22"/>
  <c r="T47" i="22"/>
  <c r="V47" i="22" s="1"/>
  <c r="W47" i="22"/>
  <c r="X47" i="22" s="1"/>
  <c r="AB47" i="22"/>
  <c r="AC47" i="22" s="1"/>
  <c r="AD47" i="22"/>
  <c r="AE47" i="22"/>
  <c r="AF47" i="22" s="1"/>
  <c r="AG47" i="22"/>
  <c r="AH47" i="22"/>
  <c r="E48" i="22"/>
  <c r="L48" i="22"/>
  <c r="T48" i="22"/>
  <c r="V48" i="22" s="1"/>
  <c r="W48" i="22"/>
  <c r="X48" i="22" s="1"/>
  <c r="AB48" i="22"/>
  <c r="AD48" i="22" s="1"/>
  <c r="AC48" i="22"/>
  <c r="AE48" i="22"/>
  <c r="AF48" i="22"/>
  <c r="AG48" i="22"/>
  <c r="AH48" i="22" s="1"/>
  <c r="E49" i="22"/>
  <c r="L49" i="22"/>
  <c r="T49" i="22"/>
  <c r="V49" i="22" s="1"/>
  <c r="W49" i="22"/>
  <c r="X49" i="22" s="1"/>
  <c r="AB49" i="22"/>
  <c r="AD49" i="22" s="1"/>
  <c r="AC49" i="22"/>
  <c r="AE49" i="22"/>
  <c r="AF49" i="22"/>
  <c r="AG49" i="22"/>
  <c r="AH49" i="22"/>
  <c r="E50" i="22"/>
  <c r="L50" i="22"/>
  <c r="T50" i="22"/>
  <c r="V50" i="22" s="1"/>
  <c r="W50" i="22"/>
  <c r="X50" i="22"/>
  <c r="AB50" i="22"/>
  <c r="AC50" i="22"/>
  <c r="AD50" i="22"/>
  <c r="AE50" i="22"/>
  <c r="AF50" i="22" s="1"/>
  <c r="AG50" i="22"/>
  <c r="AH50" i="22" s="1"/>
  <c r="E51" i="22"/>
  <c r="L51" i="22"/>
  <c r="T51" i="22"/>
  <c r="V51" i="22"/>
  <c r="W51" i="22"/>
  <c r="X51" i="22"/>
  <c r="AB51" i="22"/>
  <c r="AC51" i="22" s="1"/>
  <c r="AD51" i="22"/>
  <c r="AE51" i="22"/>
  <c r="AF51" i="22"/>
  <c r="AG51" i="22"/>
  <c r="AH51" i="22"/>
  <c r="E52" i="22"/>
  <c r="L52" i="22"/>
  <c r="T52" i="22"/>
  <c r="V52" i="22"/>
  <c r="W52" i="22"/>
  <c r="X52" i="22"/>
  <c r="AB52" i="22"/>
  <c r="AC52" i="22"/>
  <c r="AD52" i="22"/>
  <c r="AE52" i="22"/>
  <c r="AF52" i="22" s="1"/>
  <c r="AG52" i="22"/>
  <c r="AH52" i="22" s="1"/>
  <c r="E53" i="22"/>
  <c r="L53" i="22"/>
  <c r="T53" i="22"/>
  <c r="V53" i="22" s="1"/>
  <c r="W53" i="22"/>
  <c r="X53" i="22" s="1"/>
  <c r="AB53" i="22"/>
  <c r="AC53" i="22" s="1"/>
  <c r="AD53" i="22"/>
  <c r="AE53" i="22"/>
  <c r="AF53" i="22" s="1"/>
  <c r="AG53" i="22"/>
  <c r="AH53" i="22" s="1"/>
  <c r="E54" i="22"/>
  <c r="L54" i="22"/>
  <c r="T54" i="22"/>
  <c r="V54" i="22"/>
  <c r="W54" i="22"/>
  <c r="X54" i="22"/>
  <c r="AB54" i="22"/>
  <c r="AE54" i="22"/>
  <c r="AF54" i="22" s="1"/>
  <c r="AG54" i="22"/>
  <c r="AH54" i="22" s="1"/>
  <c r="E55" i="22"/>
  <c r="L55" i="22"/>
  <c r="T55" i="22"/>
  <c r="V55" i="22" s="1"/>
  <c r="W55" i="22"/>
  <c r="X55" i="22" s="1"/>
  <c r="AB55" i="22"/>
  <c r="AC55" i="22" s="1"/>
  <c r="AD55" i="22"/>
  <c r="AE55" i="22"/>
  <c r="AF55" i="22"/>
  <c r="AG55" i="22"/>
  <c r="AH55" i="22"/>
  <c r="E56" i="22"/>
  <c r="L56" i="22"/>
  <c r="T56" i="22"/>
  <c r="V56" i="22"/>
  <c r="W56" i="22"/>
  <c r="X56" i="22"/>
  <c r="AB56" i="22"/>
  <c r="AD56" i="22" s="1"/>
  <c r="AC56" i="22"/>
  <c r="AE56" i="22"/>
  <c r="AF56" i="22" s="1"/>
  <c r="AG56" i="22"/>
  <c r="AH56" i="22"/>
  <c r="E57" i="22"/>
  <c r="L57" i="22"/>
  <c r="T57" i="22"/>
  <c r="V57" i="22" s="1"/>
  <c r="W57" i="22"/>
  <c r="X57" i="22" s="1"/>
  <c r="AB57" i="22"/>
  <c r="AC57" i="22" s="1"/>
  <c r="AD57" i="22"/>
  <c r="AE57" i="22"/>
  <c r="AF57" i="22"/>
  <c r="AG57" i="22"/>
  <c r="AH57" i="22"/>
  <c r="E58" i="22"/>
  <c r="L58" i="22"/>
  <c r="T58" i="22"/>
  <c r="V58" i="22"/>
  <c r="W58" i="22"/>
  <c r="X58" i="22"/>
  <c r="AB58" i="22"/>
  <c r="AC58" i="22"/>
  <c r="AD58" i="22"/>
  <c r="AE58" i="22"/>
  <c r="AF58" i="22" s="1"/>
  <c r="AG58" i="22"/>
  <c r="AH58" i="22" s="1"/>
  <c r="I59" i="22"/>
  <c r="C66" i="22"/>
  <c r="D66" i="22"/>
  <c r="H66" i="22" s="1"/>
  <c r="E66" i="22"/>
  <c r="I66" i="22"/>
  <c r="I86" i="22" s="1"/>
  <c r="J66" i="22"/>
  <c r="L66" i="22"/>
  <c r="M66" i="22"/>
  <c r="T66" i="22"/>
  <c r="U66" i="22"/>
  <c r="V66" i="22"/>
  <c r="X66" i="22"/>
  <c r="AB66" i="22"/>
  <c r="AC66" i="22"/>
  <c r="AD66" i="22" s="1"/>
  <c r="AE66" i="22" s="1"/>
  <c r="AF66" i="22"/>
  <c r="AG66" i="22"/>
  <c r="AH66" i="22" s="1"/>
  <c r="AI66" i="22"/>
  <c r="AJ66" i="22"/>
  <c r="AN66" i="22"/>
  <c r="AQ66" i="22"/>
  <c r="AR66" i="22"/>
  <c r="AU66" i="22"/>
  <c r="AV66" i="22" s="1"/>
  <c r="AW66" i="22"/>
  <c r="AX66" i="22"/>
  <c r="AY66" i="22" a="1"/>
  <c r="AY66" i="22"/>
  <c r="BE66" i="22"/>
  <c r="BG66" i="22"/>
  <c r="BH66" i="22"/>
  <c r="C67" i="22"/>
  <c r="D67" i="22"/>
  <c r="I67" i="22"/>
  <c r="J67" i="22"/>
  <c r="M67" i="22"/>
  <c r="T67" i="22"/>
  <c r="U67" i="22"/>
  <c r="W67" i="22"/>
  <c r="AF67" i="22"/>
  <c r="AI67" i="22"/>
  <c r="AJ67" i="22" s="1"/>
  <c r="AQ67" i="22"/>
  <c r="AR67" i="22" s="1"/>
  <c r="AS67" i="22"/>
  <c r="AT67" i="22"/>
  <c r="AU67" i="22"/>
  <c r="AV67" i="22" s="1"/>
  <c r="AX67" i="22"/>
  <c r="E67" i="22" s="1"/>
  <c r="BG67" i="22"/>
  <c r="BH67" i="22"/>
  <c r="D68" i="22"/>
  <c r="I68" i="22"/>
  <c r="J68" i="22"/>
  <c r="M68" i="22"/>
  <c r="AG68" i="22"/>
  <c r="AH68" i="22" s="1"/>
  <c r="AX68" i="22"/>
  <c r="E68" i="22" s="1"/>
  <c r="BE68" i="22"/>
  <c r="BG68" i="22"/>
  <c r="BH68" i="22"/>
  <c r="C69" i="22"/>
  <c r="D69" i="22"/>
  <c r="E69" i="22"/>
  <c r="I69" i="22"/>
  <c r="J69" i="22"/>
  <c r="L69" i="22"/>
  <c r="M69" i="22"/>
  <c r="T69" i="22"/>
  <c r="U69" i="22"/>
  <c r="AF69" i="22"/>
  <c r="AG69" i="22"/>
  <c r="AH69" i="22" s="1"/>
  <c r="AQ69" i="22"/>
  <c r="AR69" i="22" s="1"/>
  <c r="AS69" i="22"/>
  <c r="AT69" i="22" s="1"/>
  <c r="AW69" i="22"/>
  <c r="AX69" i="22"/>
  <c r="BB69" i="22"/>
  <c r="BG69" i="22"/>
  <c r="BR69" i="22"/>
  <c r="C70" i="22"/>
  <c r="D70" i="22"/>
  <c r="H70" i="22"/>
  <c r="AN70" i="22" s="1"/>
  <c r="AO70" i="22" s="1"/>
  <c r="I70" i="22"/>
  <c r="J70" i="22"/>
  <c r="L70" i="22"/>
  <c r="M70" i="22"/>
  <c r="T70" i="22"/>
  <c r="U70" i="22"/>
  <c r="W70" i="22"/>
  <c r="AC70" i="22"/>
  <c r="AD70" i="22"/>
  <c r="AE70" i="22"/>
  <c r="AF70" i="22"/>
  <c r="AG70" i="22"/>
  <c r="AH70" i="22" s="1"/>
  <c r="AI70" i="22"/>
  <c r="AJ70" i="22" s="1"/>
  <c r="AQ70" i="22"/>
  <c r="AR70" i="22"/>
  <c r="AS70" i="22"/>
  <c r="AT70" i="22" s="1"/>
  <c r="AX70" i="22"/>
  <c r="E70" i="22" s="1"/>
  <c r="BB70" i="22"/>
  <c r="BH70" i="22"/>
  <c r="BJ70" i="22"/>
  <c r="BK70" i="22"/>
  <c r="C71" i="22"/>
  <c r="D71" i="22"/>
  <c r="H71" i="22"/>
  <c r="AN71" i="22" s="1"/>
  <c r="I71" i="22"/>
  <c r="J71" i="22"/>
  <c r="M71" i="22"/>
  <c r="T71" i="22"/>
  <c r="U71" i="22"/>
  <c r="V71" i="22"/>
  <c r="W71" i="22"/>
  <c r="X71" i="22"/>
  <c r="AB71" i="22"/>
  <c r="AF71" i="22"/>
  <c r="AG71" i="22"/>
  <c r="AH71" i="22" s="1"/>
  <c r="AI71" i="22"/>
  <c r="AJ71" i="22" s="1"/>
  <c r="AO71" i="22"/>
  <c r="AP71" i="22"/>
  <c r="AQ71" i="22"/>
  <c r="AR71" i="22" s="1"/>
  <c r="AS71" i="22"/>
  <c r="AT71" i="22" s="1"/>
  <c r="AU71" i="22"/>
  <c r="AV71" i="22" s="1"/>
  <c r="AW71" i="22"/>
  <c r="BG71" i="22" s="1"/>
  <c r="AX71" i="22"/>
  <c r="E71" i="22" s="1"/>
  <c r="BB71" i="22"/>
  <c r="BH71" i="22"/>
  <c r="BJ71" i="22"/>
  <c r="BK71" i="22"/>
  <c r="BL71" i="22"/>
  <c r="C72" i="22"/>
  <c r="D72" i="22"/>
  <c r="AW72" i="22" s="1"/>
  <c r="BH72" i="22" s="1"/>
  <c r="E72" i="22"/>
  <c r="H72" i="22"/>
  <c r="I72" i="22"/>
  <c r="J72" i="22"/>
  <c r="L72" i="22"/>
  <c r="M72" i="22"/>
  <c r="T72" i="22"/>
  <c r="U72" i="22"/>
  <c r="V72" i="22"/>
  <c r="W72" i="22"/>
  <c r="X72" i="22"/>
  <c r="AB72" i="22"/>
  <c r="AC72" i="22"/>
  <c r="AD72" i="22" s="1"/>
  <c r="AE72" i="22"/>
  <c r="AF72" i="22"/>
  <c r="AG72" i="22"/>
  <c r="AH72" i="22"/>
  <c r="AI72" i="22"/>
  <c r="AJ72" i="22"/>
  <c r="AN72" i="22"/>
  <c r="AO72" i="22" s="1"/>
  <c r="AQ72" i="22"/>
  <c r="AR72" i="22" s="1"/>
  <c r="AS72" i="22"/>
  <c r="AT72" i="22"/>
  <c r="AU72" i="22"/>
  <c r="AV72" i="22"/>
  <c r="AX72" i="22"/>
  <c r="BB72" i="22"/>
  <c r="BG72" i="22"/>
  <c r="BJ72" i="22"/>
  <c r="D73" i="22"/>
  <c r="AB73" i="22" s="1"/>
  <c r="E73" i="22"/>
  <c r="I73" i="22"/>
  <c r="J73" i="22"/>
  <c r="M73" i="22"/>
  <c r="V73" i="22"/>
  <c r="X73" i="22"/>
  <c r="AQ73" i="22"/>
  <c r="AR73" i="22" s="1"/>
  <c r="AX73" i="22"/>
  <c r="BB73" i="22"/>
  <c r="BE73" i="22"/>
  <c r="BG73" i="22"/>
  <c r="BH73" i="22"/>
  <c r="BJ73" i="22"/>
  <c r="BS73" i="22"/>
  <c r="BT73" i="22"/>
  <c r="C74" i="22"/>
  <c r="D74" i="22"/>
  <c r="E74" i="22"/>
  <c r="H74" i="22"/>
  <c r="AN74" i="22" s="1"/>
  <c r="AP74" i="22" s="1"/>
  <c r="I74" i="22"/>
  <c r="J74" i="22"/>
  <c r="L74" i="22"/>
  <c r="M74" i="22"/>
  <c r="T74" i="22"/>
  <c r="U74" i="22"/>
  <c r="V74" i="22"/>
  <c r="W74" i="22"/>
  <c r="X74" i="22"/>
  <c r="AB74" i="22"/>
  <c r="AC74" i="22"/>
  <c r="AD74" i="22"/>
  <c r="AE74" i="22" s="1"/>
  <c r="AF74" i="22"/>
  <c r="AG74" i="22"/>
  <c r="AH74" i="22"/>
  <c r="AI74" i="22"/>
  <c r="AJ74" i="22" s="1"/>
  <c r="AO74" i="22"/>
  <c r="AQ74" i="22"/>
  <c r="AR74" i="22"/>
  <c r="AS74" i="22"/>
  <c r="AT74" i="22" s="1"/>
  <c r="AU74" i="22"/>
  <c r="AV74" i="22" s="1"/>
  <c r="AW74" i="22"/>
  <c r="AX74" i="22"/>
  <c r="BE74" i="22"/>
  <c r="BG74" i="22"/>
  <c r="BH74" i="22"/>
  <c r="BO74" i="22"/>
  <c r="BS74" i="22"/>
  <c r="C75" i="22"/>
  <c r="D75" i="22"/>
  <c r="I75" i="22"/>
  <c r="J75" i="22"/>
  <c r="L75" i="22"/>
  <c r="M75" i="22"/>
  <c r="T75" i="22"/>
  <c r="U75" i="22"/>
  <c r="W75" i="22"/>
  <c r="AB75" i="22"/>
  <c r="AF75" i="22"/>
  <c r="AI75" i="22"/>
  <c r="AJ75" i="22" s="1"/>
  <c r="AQ75" i="22"/>
  <c r="AR75" i="22" s="1"/>
  <c r="AS75" i="22"/>
  <c r="AT75" i="22"/>
  <c r="AU75" i="22"/>
  <c r="AV75" i="22" s="1"/>
  <c r="AW75" i="22"/>
  <c r="AX75" i="22"/>
  <c r="E75" i="22" s="1"/>
  <c r="BB75" i="22"/>
  <c r="BE75" i="22"/>
  <c r="BG75" i="22"/>
  <c r="BH75" i="22"/>
  <c r="BR75" i="22"/>
  <c r="C76" i="22"/>
  <c r="D76" i="22"/>
  <c r="H76" i="22" s="1"/>
  <c r="I76" i="22"/>
  <c r="J76" i="22"/>
  <c r="L76" i="22"/>
  <c r="M76" i="22"/>
  <c r="T76" i="22"/>
  <c r="U76" i="22"/>
  <c r="V76" i="22"/>
  <c r="X76" i="22"/>
  <c r="AC76" i="22"/>
  <c r="AD76" i="22"/>
  <c r="AE76" i="22"/>
  <c r="AF76" i="22"/>
  <c r="AG76" i="22"/>
  <c r="AH76" i="22" s="1"/>
  <c r="AI76" i="22"/>
  <c r="AJ76" i="22" s="1"/>
  <c r="AN76" i="22"/>
  <c r="AO76" i="22"/>
  <c r="AP76" i="22"/>
  <c r="AQ76" i="22"/>
  <c r="AR76" i="22" s="1"/>
  <c r="AW76" i="22"/>
  <c r="AX76" i="22"/>
  <c r="E76" i="22" s="1"/>
  <c r="BB76" i="22"/>
  <c r="BE76" i="22"/>
  <c r="BG76" i="22"/>
  <c r="BH76" i="22"/>
  <c r="BJ76" i="22"/>
  <c r="C77" i="22"/>
  <c r="D77" i="22"/>
  <c r="T77" i="22" s="1"/>
  <c r="E77" i="22"/>
  <c r="I77" i="22"/>
  <c r="J77" i="22"/>
  <c r="M77" i="22"/>
  <c r="U77" i="22"/>
  <c r="V77" i="22"/>
  <c r="AB77" i="22"/>
  <c r="AQ77" i="22"/>
  <c r="AR77" i="22" s="1"/>
  <c r="AX77" i="22"/>
  <c r="BB77" i="22"/>
  <c r="BG77" i="22"/>
  <c r="BH77" i="22"/>
  <c r="BJ77" i="22"/>
  <c r="BR77" i="22"/>
  <c r="C78" i="22"/>
  <c r="D78" i="22"/>
  <c r="E78" i="22"/>
  <c r="H78" i="22"/>
  <c r="AN78" i="22" s="1"/>
  <c r="I78" i="22"/>
  <c r="J78" i="22"/>
  <c r="L78" i="22"/>
  <c r="M78" i="22"/>
  <c r="T78" i="22"/>
  <c r="U78" i="22"/>
  <c r="V78" i="22"/>
  <c r="W78" i="22"/>
  <c r="AC78" i="22"/>
  <c r="AD78" i="22" s="1"/>
  <c r="AE78" i="22" s="1"/>
  <c r="AF78" i="22"/>
  <c r="AQ78" i="22"/>
  <c r="AR78" i="22"/>
  <c r="AS78" i="22"/>
  <c r="AT78" i="22" s="1"/>
  <c r="AX78" i="22"/>
  <c r="BB78" i="22"/>
  <c r="BG78" i="22"/>
  <c r="BH78" i="22"/>
  <c r="BJ78" i="22"/>
  <c r="BR78" i="22"/>
  <c r="BS78" i="22"/>
  <c r="D79" i="22"/>
  <c r="E79" i="22"/>
  <c r="H79" i="22"/>
  <c r="AN79" i="22" s="1"/>
  <c r="AP79" i="22" s="1"/>
  <c r="I79" i="22"/>
  <c r="J79" i="22"/>
  <c r="M79" i="22"/>
  <c r="U79" i="22"/>
  <c r="V79" i="22"/>
  <c r="W79" i="22"/>
  <c r="X79" i="22"/>
  <c r="AF79" i="22"/>
  <c r="AG79" i="22"/>
  <c r="AH79" i="22"/>
  <c r="AI79" i="22"/>
  <c r="AJ79" i="22" s="1"/>
  <c r="AO79" i="22"/>
  <c r="AQ79" i="22"/>
  <c r="AR79" i="22"/>
  <c r="AS79" i="22"/>
  <c r="AT79" i="22"/>
  <c r="AW79" i="22"/>
  <c r="BO72" i="22" s="1"/>
  <c r="AX79" i="22"/>
  <c r="BB79" i="22"/>
  <c r="BE79" i="22"/>
  <c r="BH79" i="22"/>
  <c r="BJ79" i="22"/>
  <c r="BK79" i="22"/>
  <c r="BL79" i="22"/>
  <c r="C80" i="22"/>
  <c r="D80" i="22"/>
  <c r="AW80" i="22" s="1"/>
  <c r="E80" i="22"/>
  <c r="H80" i="22"/>
  <c r="AN80" i="22" s="1"/>
  <c r="AO80" i="22" s="1"/>
  <c r="I80" i="22"/>
  <c r="J80" i="22"/>
  <c r="L80" i="22"/>
  <c r="M80" i="22"/>
  <c r="T80" i="22"/>
  <c r="U80" i="22"/>
  <c r="V80" i="22"/>
  <c r="W80" i="22"/>
  <c r="X80" i="22"/>
  <c r="AB80" i="22"/>
  <c r="AC80" i="22"/>
  <c r="AD80" i="22" s="1"/>
  <c r="AE80" i="22"/>
  <c r="AF80" i="22"/>
  <c r="AG80" i="22"/>
  <c r="AH80" i="22" s="1"/>
  <c r="AI80" i="22"/>
  <c r="AJ80" i="22" s="1"/>
  <c r="AQ80" i="22"/>
  <c r="AR80" i="22"/>
  <c r="AS80" i="22"/>
  <c r="AT80" i="22"/>
  <c r="AU80" i="22"/>
  <c r="AV80" i="22" s="1"/>
  <c r="AX80" i="22"/>
  <c r="BE80" i="22"/>
  <c r="BG80" i="22"/>
  <c r="BH80" i="22"/>
  <c r="BK80" i="22"/>
  <c r="BS80" i="22"/>
  <c r="BT80" i="22"/>
  <c r="D81" i="22"/>
  <c r="E81" i="22"/>
  <c r="H81" i="22"/>
  <c r="AN81" i="22" s="1"/>
  <c r="I81" i="22"/>
  <c r="J81" i="22"/>
  <c r="L81" i="22"/>
  <c r="M81" i="22"/>
  <c r="U81" i="22"/>
  <c r="W81" i="22"/>
  <c r="X81" i="22"/>
  <c r="AB81" i="22"/>
  <c r="AC81" i="22"/>
  <c r="AD81" i="22" s="1"/>
  <c r="AE81" i="22" s="1"/>
  <c r="AF81" i="22"/>
  <c r="AI81" i="22"/>
  <c r="AJ81" i="22" s="1"/>
  <c r="AQ81" i="22"/>
  <c r="AR81" i="22" s="1"/>
  <c r="AS81" i="22"/>
  <c r="AT81" i="22"/>
  <c r="AU81" i="22"/>
  <c r="AV81" i="22"/>
  <c r="AX81" i="22"/>
  <c r="BB81" i="22"/>
  <c r="BE81" i="22"/>
  <c r="BG81" i="22"/>
  <c r="BH81" i="22"/>
  <c r="BJ81" i="22"/>
  <c r="BL81" i="22"/>
  <c r="C82" i="22"/>
  <c r="D82" i="22"/>
  <c r="E82" i="22"/>
  <c r="H82" i="22"/>
  <c r="I82" i="22"/>
  <c r="J82" i="22"/>
  <c r="L82" i="22"/>
  <c r="M82" i="22"/>
  <c r="T82" i="22"/>
  <c r="U82" i="22"/>
  <c r="V82" i="22"/>
  <c r="W82" i="22"/>
  <c r="X82" i="22"/>
  <c r="AB82" i="22"/>
  <c r="AC82" i="22"/>
  <c r="AD82" i="22" s="1"/>
  <c r="AE82" i="22" s="1"/>
  <c r="AF82" i="22"/>
  <c r="AG82" i="22"/>
  <c r="AH82" i="22" s="1"/>
  <c r="AI82" i="22"/>
  <c r="AJ82" i="22" s="1"/>
  <c r="AN82" i="22"/>
  <c r="AP82" i="22" s="1"/>
  <c r="AO82" i="22"/>
  <c r="AQ82" i="22"/>
  <c r="AR82" i="22"/>
  <c r="AS82" i="22"/>
  <c r="AT82" i="22"/>
  <c r="AU82" i="22"/>
  <c r="AV82" i="22" s="1"/>
  <c r="AW82" i="22"/>
  <c r="BR73" i="22" s="1"/>
  <c r="AX82" i="22"/>
  <c r="BE82" i="22"/>
  <c r="BG82" i="22"/>
  <c r="BH82" i="22"/>
  <c r="BK82" i="22"/>
  <c r="BO82" i="22"/>
  <c r="C83" i="22"/>
  <c r="D83" i="22"/>
  <c r="V83" i="22" s="1"/>
  <c r="H83" i="22"/>
  <c r="AN83" i="22" s="1"/>
  <c r="I83" i="22"/>
  <c r="J83" i="22"/>
  <c r="L83" i="22"/>
  <c r="M83" i="22"/>
  <c r="T83" i="22"/>
  <c r="U83" i="22"/>
  <c r="W83" i="22"/>
  <c r="AB83" i="22"/>
  <c r="AC83" i="22"/>
  <c r="AD83" i="22" s="1"/>
  <c r="AE83" i="22" s="1"/>
  <c r="AF83" i="22"/>
  <c r="AQ83" i="22"/>
  <c r="AR83" i="22" s="1"/>
  <c r="AS83" i="22"/>
  <c r="AT83" i="22" s="1"/>
  <c r="AU83" i="22"/>
  <c r="AV83" i="22"/>
  <c r="AW83" i="22"/>
  <c r="BS77" i="22" s="1"/>
  <c r="AX83" i="22"/>
  <c r="E83" i="22" s="1"/>
  <c r="BG83" i="22"/>
  <c r="BH83" i="22"/>
  <c r="BO83" i="22"/>
  <c r="BP83" i="22"/>
  <c r="D84" i="22"/>
  <c r="U84" i="22" s="1"/>
  <c r="I84" i="22"/>
  <c r="J84" i="22"/>
  <c r="L84" i="22"/>
  <c r="M84" i="22"/>
  <c r="AC84" i="22"/>
  <c r="AD84" i="22"/>
  <c r="AE84" i="22"/>
  <c r="AF84" i="22"/>
  <c r="AQ84" i="22"/>
  <c r="AR84" i="22" s="1"/>
  <c r="AW84" i="22"/>
  <c r="BT83" i="22" s="1"/>
  <c r="AX84" i="22"/>
  <c r="E84" i="22" s="1"/>
  <c r="BB84" i="22"/>
  <c r="BE84" i="22"/>
  <c r="BG84" i="22"/>
  <c r="BH84" i="22"/>
  <c r="BJ84" i="22"/>
  <c r="C85" i="22"/>
  <c r="D85" i="22"/>
  <c r="T85" i="22" s="1"/>
  <c r="E85" i="22"/>
  <c r="I85" i="22"/>
  <c r="J85" i="22"/>
  <c r="M85" i="22"/>
  <c r="U85" i="22"/>
  <c r="V85" i="22"/>
  <c r="AB85" i="22"/>
  <c r="AQ85" i="22"/>
  <c r="AR85" i="22" s="1"/>
  <c r="AX85" i="22"/>
  <c r="BB85" i="22"/>
  <c r="BG85" i="22"/>
  <c r="BH85" i="22"/>
  <c r="BJ85" i="22"/>
  <c r="BK85" i="22"/>
  <c r="BP85" i="22"/>
  <c r="BR85" i="22"/>
  <c r="F103" i="22"/>
  <c r="F104" i="22"/>
  <c r="F106" i="22"/>
  <c r="D2" i="11"/>
  <c r="B9" i="12"/>
  <c r="B10" i="12"/>
  <c r="B11" i="12" s="1"/>
  <c r="B12" i="12" s="1"/>
  <c r="B13" i="12"/>
  <c r="B14" i="12" s="1"/>
  <c r="B15" i="12"/>
  <c r="B16" i="12"/>
  <c r="B17" i="12"/>
  <c r="B18" i="12" s="1"/>
  <c r="B19" i="12" s="1"/>
  <c r="B20" i="12" s="1"/>
  <c r="B21" i="12" s="1"/>
  <c r="B22" i="12" s="1"/>
  <c r="B23" i="12" s="1"/>
  <c r="B24" i="12" s="1"/>
  <c r="B25" i="12" s="1"/>
  <c r="B26" i="12" s="1"/>
  <c r="B27" i="12" s="1"/>
  <c r="B28" i="12" s="1"/>
  <c r="B29" i="12" s="1"/>
  <c r="B30" i="12" s="1"/>
  <c r="B31" i="12" s="1"/>
  <c r="B32" i="12" s="1"/>
  <c r="B33" i="12" s="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S36" i="4"/>
  <c r="T36" i="4"/>
  <c r="S37" i="4"/>
  <c r="T37" i="4"/>
  <c r="S38" i="4"/>
  <c r="T38" i="4" s="1"/>
  <c r="O47" i="4"/>
  <c r="P47" i="4" s="1"/>
  <c r="P48" i="4"/>
  <c r="P49" i="4"/>
  <c r="P50" i="4"/>
  <c r="I35" i="1" l="1"/>
  <c r="O35" i="1" s="1"/>
  <c r="I34" i="1"/>
  <c r="O34" i="1" s="1"/>
  <c r="F105" i="22"/>
  <c r="E108" i="21"/>
  <c r="E112" i="21"/>
  <c r="AP83" i="22"/>
  <c r="AO83" i="22"/>
  <c r="AP73" i="21"/>
  <c r="AO73" i="21"/>
  <c r="M86" i="22"/>
  <c r="AP81" i="22"/>
  <c r="AO81" i="22"/>
  <c r="BP72" i="22"/>
  <c r="BP70" i="22"/>
  <c r="BP71" i="22"/>
  <c r="BP80" i="22"/>
  <c r="BP78" i="22"/>
  <c r="BP69" i="22"/>
  <c r="BP74" i="22"/>
  <c r="BP75" i="22"/>
  <c r="BP81" i="22"/>
  <c r="BP67" i="22"/>
  <c r="BP76" i="22"/>
  <c r="BP84" i="22"/>
  <c r="BP77" i="22"/>
  <c r="BP66" i="22"/>
  <c r="BP68" i="22"/>
  <c r="BP73" i="22"/>
  <c r="BP82" i="22"/>
  <c r="BP79" i="22"/>
  <c r="AO78" i="22"/>
  <c r="AP78" i="22"/>
  <c r="I86" i="21"/>
  <c r="V27" i="22"/>
  <c r="AH27" i="22"/>
  <c r="L31" i="22"/>
  <c r="D13" i="11" s="1"/>
  <c r="BT72" i="22"/>
  <c r="H68" i="22"/>
  <c r="AN68" i="22" s="1"/>
  <c r="W68" i="22"/>
  <c r="AS68" i="22"/>
  <c r="AT68" i="22" s="1"/>
  <c r="AB68" i="22"/>
  <c r="AW68" i="22"/>
  <c r="L68" i="22"/>
  <c r="X68" i="22"/>
  <c r="AC68" i="22"/>
  <c r="AD68" i="22" s="1"/>
  <c r="AE68" i="22" s="1"/>
  <c r="BU67" i="21"/>
  <c r="BU75" i="21"/>
  <c r="BU80" i="21"/>
  <c r="BU66" i="21"/>
  <c r="BU72" i="21"/>
  <c r="BU73" i="21"/>
  <c r="BU74" i="21"/>
  <c r="BU83" i="21"/>
  <c r="BU85" i="21"/>
  <c r="BU69" i="21"/>
  <c r="BU76" i="21"/>
  <c r="BU84" i="21"/>
  <c r="BU68" i="21"/>
  <c r="BU77" i="21"/>
  <c r="BU81" i="21"/>
  <c r="BU82" i="21"/>
  <c r="BU70" i="21"/>
  <c r="BU78" i="21"/>
  <c r="BU79" i="21"/>
  <c r="V73" i="21"/>
  <c r="AG73" i="21"/>
  <c r="AH73" i="21" s="1"/>
  <c r="AB73" i="21"/>
  <c r="AW73" i="21"/>
  <c r="L73" i="21"/>
  <c r="T73" i="21"/>
  <c r="AI73" i="21"/>
  <c r="AJ73" i="21" s="1"/>
  <c r="U73" i="21"/>
  <c r="AF73" i="21"/>
  <c r="AU73" i="21"/>
  <c r="AV73" i="21" s="1"/>
  <c r="W73" i="21"/>
  <c r="X73" i="21"/>
  <c r="AS73" i="21"/>
  <c r="AT73" i="21" s="1"/>
  <c r="BS72" i="22"/>
  <c r="BO66" i="22"/>
  <c r="L95" i="1"/>
  <c r="O95" i="1"/>
  <c r="I95" i="1"/>
  <c r="BS85" i="22"/>
  <c r="BO84" i="22"/>
  <c r="AI84" i="22"/>
  <c r="AJ84" i="22" s="1"/>
  <c r="BS82" i="22"/>
  <c r="BO76" i="22"/>
  <c r="BK67" i="22"/>
  <c r="BK75" i="22"/>
  <c r="BK83" i="22"/>
  <c r="BK68" i="22"/>
  <c r="BK74" i="22"/>
  <c r="BK81" i="22"/>
  <c r="BK76" i="22"/>
  <c r="BK84" i="22"/>
  <c r="BK66" i="22"/>
  <c r="BK72" i="22"/>
  <c r="AQ68" i="22"/>
  <c r="AR68" i="22" s="1"/>
  <c r="BO67" i="22"/>
  <c r="AH26" i="22"/>
  <c r="V17" i="22"/>
  <c r="AH17" i="22"/>
  <c r="BU71" i="21"/>
  <c r="M86" i="21"/>
  <c r="AC53" i="21"/>
  <c r="X85" i="22"/>
  <c r="AI85" i="22"/>
  <c r="AJ85" i="22" s="1"/>
  <c r="L85" i="22"/>
  <c r="AC85" i="22"/>
  <c r="AD85" i="22" s="1"/>
  <c r="AE85" i="22" s="1"/>
  <c r="H85" i="22"/>
  <c r="AN85" i="22" s="1"/>
  <c r="W85" i="22"/>
  <c r="AS85" i="22"/>
  <c r="AT85" i="22" s="1"/>
  <c r="BT68" i="22"/>
  <c r="BT76" i="22"/>
  <c r="BT84" i="22"/>
  <c r="BT74" i="22"/>
  <c r="BT75" i="22"/>
  <c r="BT82" i="22"/>
  <c r="BT77" i="22"/>
  <c r="BT85" i="22"/>
  <c r="BT66" i="22"/>
  <c r="BT67" i="22"/>
  <c r="BT78" i="22"/>
  <c r="X77" i="22"/>
  <c r="AI77" i="22"/>
  <c r="AJ77" i="22" s="1"/>
  <c r="L77" i="22"/>
  <c r="AC77" i="22"/>
  <c r="AD77" i="22" s="1"/>
  <c r="AE77" i="22" s="1"/>
  <c r="H77" i="22"/>
  <c r="AN77" i="22" s="1"/>
  <c r="W77" i="22"/>
  <c r="AS77" i="22"/>
  <c r="AT77" i="22" s="1"/>
  <c r="BL68" i="22"/>
  <c r="BL76" i="22"/>
  <c r="BL84" i="22"/>
  <c r="BL66" i="22"/>
  <c r="BL67" i="22"/>
  <c r="BL82" i="22"/>
  <c r="BL73" i="22"/>
  <c r="BL77" i="22"/>
  <c r="BL85" i="22"/>
  <c r="C73" i="22"/>
  <c r="T73" i="22"/>
  <c r="U73" i="22"/>
  <c r="AG73" i="22"/>
  <c r="AH73" i="22" s="1"/>
  <c r="AS73" i="22"/>
  <c r="AT73" i="22" s="1"/>
  <c r="W73" i="22"/>
  <c r="AI73" i="22"/>
  <c r="AJ73" i="22" s="1"/>
  <c r="AU73" i="22"/>
  <c r="AV73" i="22" s="1"/>
  <c r="AF73" i="22"/>
  <c r="BL70" i="22"/>
  <c r="BT69" i="22"/>
  <c r="AI68" i="22"/>
  <c r="AJ68" i="22" s="1"/>
  <c r="C84" i="21"/>
  <c r="T84" i="21"/>
  <c r="L84" i="21"/>
  <c r="AQ84" i="21"/>
  <c r="AR84" i="21" s="1"/>
  <c r="AF84" i="21"/>
  <c r="U84" i="21"/>
  <c r="AG84" i="21"/>
  <c r="AH84" i="21" s="1"/>
  <c r="AS84" i="21"/>
  <c r="AT84" i="21" s="1"/>
  <c r="AC84" i="21"/>
  <c r="AD84" i="21" s="1"/>
  <c r="AE84" i="21" s="1"/>
  <c r="V84" i="21"/>
  <c r="AI84" i="21"/>
  <c r="AJ84" i="21" s="1"/>
  <c r="BQ71" i="21"/>
  <c r="BQ68" i="21"/>
  <c r="BQ69" i="21"/>
  <c r="BQ75" i="21"/>
  <c r="BQ84" i="21"/>
  <c r="BQ67" i="21"/>
  <c r="BQ66" i="21"/>
  <c r="BQ78" i="21"/>
  <c r="BQ79" i="21"/>
  <c r="BQ74" i="21"/>
  <c r="BQ80" i="21"/>
  <c r="BQ70" i="21"/>
  <c r="BQ81" i="21"/>
  <c r="BQ82" i="21"/>
  <c r="BQ72" i="21"/>
  <c r="BQ77" i="21"/>
  <c r="BQ73" i="21"/>
  <c r="BQ76" i="21"/>
  <c r="BQ83" i="21"/>
  <c r="BQ85" i="21"/>
  <c r="AH20" i="21"/>
  <c r="V20" i="21"/>
  <c r="L31" i="21"/>
  <c r="D12" i="11" s="1"/>
  <c r="AG85" i="22"/>
  <c r="AH85" i="22" s="1"/>
  <c r="BR84" i="22"/>
  <c r="X84" i="22"/>
  <c r="C84" i="22"/>
  <c r="BL83" i="22"/>
  <c r="BR81" i="22"/>
  <c r="BT79" i="22"/>
  <c r="BO78" i="22"/>
  <c r="AB78" i="22"/>
  <c r="AU78" i="22"/>
  <c r="AV78" i="22" s="1"/>
  <c r="AW78" i="22"/>
  <c r="X78" i="22"/>
  <c r="AI78" i="22"/>
  <c r="AJ78" i="22" s="1"/>
  <c r="BK77" i="22"/>
  <c r="AG77" i="22"/>
  <c r="AH77" i="22" s="1"/>
  <c r="BR76" i="22"/>
  <c r="BL74" i="22"/>
  <c r="BR72" i="22"/>
  <c r="AP72" i="22"/>
  <c r="BT70" i="22"/>
  <c r="AP70" i="22"/>
  <c r="BL69" i="22"/>
  <c r="AU68" i="22"/>
  <c r="AV68" i="22" s="1"/>
  <c r="V68" i="22"/>
  <c r="AP66" i="22"/>
  <c r="AO66" i="22"/>
  <c r="AD54" i="22"/>
  <c r="AC54" i="22"/>
  <c r="AW84" i="21"/>
  <c r="AP82" i="21"/>
  <c r="AO82" i="21"/>
  <c r="N31" i="21"/>
  <c r="P2" i="21" s="1"/>
  <c r="V11" i="21"/>
  <c r="AH11" i="21"/>
  <c r="AF68" i="22"/>
  <c r="BS67" i="22"/>
  <c r="BS75" i="22"/>
  <c r="BS66" i="22"/>
  <c r="BS83" i="22"/>
  <c r="BS69" i="22"/>
  <c r="BS81" i="22"/>
  <c r="BS76" i="22"/>
  <c r="BS84" i="22"/>
  <c r="BS68" i="22"/>
  <c r="BO75" i="22"/>
  <c r="C68" i="22"/>
  <c r="L59" i="22"/>
  <c r="P3" i="22" s="1"/>
  <c r="AC12" i="21"/>
  <c r="AD12" i="21"/>
  <c r="I98" i="1"/>
  <c r="L98" i="1"/>
  <c r="O98" i="1"/>
  <c r="AW85" i="22"/>
  <c r="AF85" i="22"/>
  <c r="BL78" i="22"/>
  <c r="AW77" i="22"/>
  <c r="AF77" i="22"/>
  <c r="BJ66" i="22"/>
  <c r="BJ74" i="22"/>
  <c r="BJ82" i="22"/>
  <c r="BJ69" i="22"/>
  <c r="BJ75" i="22"/>
  <c r="BJ80" i="22"/>
  <c r="BJ83" i="22"/>
  <c r="BJ67" i="22"/>
  <c r="BJ68" i="22"/>
  <c r="AW73" i="22"/>
  <c r="BT71" i="22"/>
  <c r="BS70" i="22"/>
  <c r="BK69" i="22"/>
  <c r="BE69" i="22"/>
  <c r="BE72" i="22"/>
  <c r="BE77" i="22"/>
  <c r="BE85" i="22"/>
  <c r="BE83" i="22"/>
  <c r="BE70" i="22"/>
  <c r="BE71" i="22"/>
  <c r="BE78" i="22"/>
  <c r="U68" i="22"/>
  <c r="BE67" i="22"/>
  <c r="BE64" i="22" s="1"/>
  <c r="BX69" i="22" s="1"/>
  <c r="BV69" i="22" s="1"/>
  <c r="V25" i="22"/>
  <c r="AH25" i="22"/>
  <c r="N31" i="22"/>
  <c r="P2" i="22" s="1"/>
  <c r="AB76" i="21"/>
  <c r="AU76" i="21"/>
  <c r="AV76" i="21" s="1"/>
  <c r="V76" i="21"/>
  <c r="X76" i="21"/>
  <c r="AW76" i="21"/>
  <c r="AS76" i="21"/>
  <c r="AT76" i="21" s="1"/>
  <c r="L76" i="21"/>
  <c r="AF76" i="21"/>
  <c r="H76" i="21"/>
  <c r="AN76" i="21" s="1"/>
  <c r="AC76" i="21"/>
  <c r="AD76" i="21" s="1"/>
  <c r="AE76" i="21" s="1"/>
  <c r="AQ76" i="21"/>
  <c r="AR76" i="21" s="1"/>
  <c r="U76" i="21"/>
  <c r="T76" i="21"/>
  <c r="AC73" i="21"/>
  <c r="AD73" i="21" s="1"/>
  <c r="AE73" i="21" s="1"/>
  <c r="BG69" i="21"/>
  <c r="BG77" i="21"/>
  <c r="BG76" i="21"/>
  <c r="BG82" i="21"/>
  <c r="BG71" i="21"/>
  <c r="BG68" i="21"/>
  <c r="BG72" i="21"/>
  <c r="BG80" i="21"/>
  <c r="BG75" i="21"/>
  <c r="BG81" i="21"/>
  <c r="BG74" i="21"/>
  <c r="BG85" i="21"/>
  <c r="BG67" i="21"/>
  <c r="BG78" i="21"/>
  <c r="BG79" i="21"/>
  <c r="BG84" i="21"/>
  <c r="BG66" i="21"/>
  <c r="BG83" i="21"/>
  <c r="BO71" i="22"/>
  <c r="BO79" i="22"/>
  <c r="BO73" i="22"/>
  <c r="BO77" i="22"/>
  <c r="BO85" i="22"/>
  <c r="BO70" i="22"/>
  <c r="BO80" i="22"/>
  <c r="BO69" i="22"/>
  <c r="I32" i="22"/>
  <c r="I33" i="22"/>
  <c r="AO83" i="21"/>
  <c r="AP83" i="21"/>
  <c r="AQ73" i="21"/>
  <c r="AR73" i="21" s="1"/>
  <c r="H84" i="22"/>
  <c r="AN84" i="22" s="1"/>
  <c r="W84" i="22"/>
  <c r="AS84" i="22"/>
  <c r="AT84" i="22" s="1"/>
  <c r="AB84" i="22"/>
  <c r="AU84" i="22"/>
  <c r="AV84" i="22" s="1"/>
  <c r="V84" i="22"/>
  <c r="AG84" i="22"/>
  <c r="AH84" i="22" s="1"/>
  <c r="BR66" i="22"/>
  <c r="BR74" i="22"/>
  <c r="BR67" i="22"/>
  <c r="BR68" i="22"/>
  <c r="BR82" i="22"/>
  <c r="BR70" i="22"/>
  <c r="BR71" i="22"/>
  <c r="BR80" i="22"/>
  <c r="BR83" i="22"/>
  <c r="BT81" i="22"/>
  <c r="L73" i="22"/>
  <c r="BO68" i="22"/>
  <c r="C73" i="21"/>
  <c r="X67" i="21"/>
  <c r="AI67" i="21"/>
  <c r="AJ67" i="21" s="1"/>
  <c r="AB67" i="21"/>
  <c r="AW67" i="21"/>
  <c r="AC67" i="21"/>
  <c r="AD67" i="21" s="1"/>
  <c r="AE67" i="21" s="1"/>
  <c r="L67" i="21"/>
  <c r="H67" i="21"/>
  <c r="AN67" i="21" s="1"/>
  <c r="W67" i="21"/>
  <c r="T67" i="21"/>
  <c r="U67" i="21"/>
  <c r="AS67" i="21"/>
  <c r="AT67" i="21" s="1"/>
  <c r="C67" i="21"/>
  <c r="V67" i="21"/>
  <c r="AU67" i="21"/>
  <c r="AV67" i="21" s="1"/>
  <c r="AQ67" i="21"/>
  <c r="AR67" i="21" s="1"/>
  <c r="O97" i="1"/>
  <c r="I97" i="1"/>
  <c r="L97" i="1"/>
  <c r="BO81" i="22"/>
  <c r="AP80" i="22"/>
  <c r="BS79" i="22"/>
  <c r="L96" i="1"/>
  <c r="I96" i="1"/>
  <c r="O96" i="1"/>
  <c r="AU85" i="22"/>
  <c r="AV85" i="22" s="1"/>
  <c r="T84" i="22"/>
  <c r="C81" i="22"/>
  <c r="T81" i="22"/>
  <c r="V81" i="22"/>
  <c r="AG81" i="22"/>
  <c r="AH81" i="22" s="1"/>
  <c r="AW81" i="22"/>
  <c r="BL80" i="22"/>
  <c r="BR79" i="22"/>
  <c r="L79" i="22"/>
  <c r="AC79" i="22"/>
  <c r="AD79" i="22" s="1"/>
  <c r="AE79" i="22" s="1"/>
  <c r="C79" i="22"/>
  <c r="T79" i="22"/>
  <c r="AB79" i="22"/>
  <c r="AU79" i="22"/>
  <c r="AV79" i="22" s="1"/>
  <c r="BK78" i="22"/>
  <c r="AG78" i="22"/>
  <c r="AH78" i="22" s="1"/>
  <c r="AU77" i="22"/>
  <c r="AV77" i="22" s="1"/>
  <c r="BL75" i="22"/>
  <c r="BK73" i="22"/>
  <c r="AC73" i="22"/>
  <c r="AD73" i="22" s="1"/>
  <c r="AE73" i="22" s="1"/>
  <c r="H73" i="22"/>
  <c r="AN73" i="22" s="1"/>
  <c r="BL72" i="22"/>
  <c r="BS71" i="22"/>
  <c r="X69" i="22"/>
  <c r="AI69" i="22"/>
  <c r="AJ69" i="22" s="1"/>
  <c r="H69" i="22"/>
  <c r="AN69" i="22" s="1"/>
  <c r="W69" i="22"/>
  <c r="AC69" i="22"/>
  <c r="AD69" i="22" s="1"/>
  <c r="AE69" i="22" s="1"/>
  <c r="V69" i="22"/>
  <c r="AU69" i="22"/>
  <c r="AV69" i="22" s="1"/>
  <c r="AB69" i="22"/>
  <c r="T68" i="22"/>
  <c r="V67" i="22"/>
  <c r="AG67" i="22"/>
  <c r="AH67" i="22" s="1"/>
  <c r="AB67" i="22"/>
  <c r="AW67" i="22"/>
  <c r="L67" i="22"/>
  <c r="H67" i="22"/>
  <c r="AN67" i="22" s="1"/>
  <c r="X67" i="22"/>
  <c r="AC67" i="22"/>
  <c r="AD67" i="22" s="1"/>
  <c r="AE67" i="22" s="1"/>
  <c r="BH64" i="22"/>
  <c r="BX72" i="22" s="1"/>
  <c r="BV72" i="22" s="1"/>
  <c r="BB66" i="22"/>
  <c r="BB64" i="22" s="1"/>
  <c r="BX66" i="22" s="1"/>
  <c r="BV66" i="22" s="1"/>
  <c r="BB74" i="22"/>
  <c r="BB82" i="22"/>
  <c r="BB67" i="22"/>
  <c r="BB68" i="22"/>
  <c r="BB80" i="22"/>
  <c r="BB83" i="22"/>
  <c r="AD45" i="22"/>
  <c r="AP85" i="21"/>
  <c r="AO85" i="21"/>
  <c r="AU84" i="21"/>
  <c r="AV84" i="21" s="1"/>
  <c r="H84" i="21"/>
  <c r="AN84" i="21" s="1"/>
  <c r="AO78" i="21"/>
  <c r="AP78" i="21"/>
  <c r="C76" i="21"/>
  <c r="X75" i="21"/>
  <c r="AI75" i="21"/>
  <c r="AJ75" i="21" s="1"/>
  <c r="H75" i="21"/>
  <c r="AN75" i="21" s="1"/>
  <c r="W75" i="21"/>
  <c r="AC75" i="21"/>
  <c r="AD75" i="21" s="1"/>
  <c r="AE75" i="21" s="1"/>
  <c r="AS75" i="21"/>
  <c r="AT75" i="21" s="1"/>
  <c r="L75" i="21"/>
  <c r="AF75" i="21"/>
  <c r="AU75" i="21"/>
  <c r="AV75" i="21" s="1"/>
  <c r="AB75" i="21"/>
  <c r="AQ75" i="21"/>
  <c r="AR75" i="21" s="1"/>
  <c r="AW75" i="21"/>
  <c r="T75" i="21"/>
  <c r="U75" i="21"/>
  <c r="BG73" i="21"/>
  <c r="AP70" i="21"/>
  <c r="AF67" i="21"/>
  <c r="V14" i="21"/>
  <c r="P1" i="22"/>
  <c r="V75" i="22"/>
  <c r="AG75" i="22"/>
  <c r="AH75" i="22" s="1"/>
  <c r="AB70" i="22"/>
  <c r="AU70" i="22"/>
  <c r="AV70" i="22" s="1"/>
  <c r="AD46" i="22"/>
  <c r="AC46" i="22"/>
  <c r="V25" i="21"/>
  <c r="AH25" i="21"/>
  <c r="AI83" i="22"/>
  <c r="AJ83" i="22" s="1"/>
  <c r="X83" i="22"/>
  <c r="AU76" i="22"/>
  <c r="AV76" i="22" s="1"/>
  <c r="AB76" i="22"/>
  <c r="AC75" i="22"/>
  <c r="AD75" i="22" s="1"/>
  <c r="AE75" i="22" s="1"/>
  <c r="AW70" i="22"/>
  <c r="X70" i="22"/>
  <c r="AH22" i="22"/>
  <c r="AH14" i="22"/>
  <c r="BR72" i="21"/>
  <c r="BR67" i="21"/>
  <c r="BR73" i="21"/>
  <c r="BR74" i="21"/>
  <c r="BR68" i="21"/>
  <c r="BR69" i="21"/>
  <c r="BR70" i="21"/>
  <c r="BR76" i="21"/>
  <c r="BR77" i="21"/>
  <c r="BR66" i="21"/>
  <c r="BR71" i="21"/>
  <c r="BR75" i="21"/>
  <c r="BR78" i="21"/>
  <c r="BR79" i="21"/>
  <c r="BR80" i="21"/>
  <c r="V29" i="21"/>
  <c r="AH29" i="21"/>
  <c r="AG83" i="22"/>
  <c r="AH83" i="22" s="1"/>
  <c r="BG79" i="22"/>
  <c r="AS76" i="22"/>
  <c r="AT76" i="22" s="1"/>
  <c r="W76" i="22"/>
  <c r="X75" i="22"/>
  <c r="H75" i="22"/>
  <c r="AN75" i="22" s="1"/>
  <c r="L71" i="22"/>
  <c r="AC71" i="22"/>
  <c r="AD71" i="22" s="1"/>
  <c r="AE71" i="22" s="1"/>
  <c r="BG70" i="22"/>
  <c r="BG64" i="22" s="1"/>
  <c r="BX71" i="22" s="1"/>
  <c r="BV71" i="22" s="1"/>
  <c r="V70" i="22"/>
  <c r="BH69" i="22"/>
  <c r="AC41" i="22"/>
  <c r="AH24" i="22"/>
  <c r="AH16" i="22"/>
  <c r="AD11" i="22"/>
  <c r="AC11" i="22"/>
  <c r="AC51" i="21"/>
  <c r="AD18" i="21"/>
  <c r="AC18" i="21"/>
  <c r="AC15" i="21"/>
  <c r="AD15" i="21"/>
  <c r="AH13" i="21"/>
  <c r="O33" i="21"/>
  <c r="X80" i="21"/>
  <c r="AI80" i="21"/>
  <c r="AJ80" i="21" s="1"/>
  <c r="H79" i="21"/>
  <c r="AN79" i="21" s="1"/>
  <c r="W79" i="21"/>
  <c r="AS79" i="21"/>
  <c r="AT79" i="21" s="1"/>
  <c r="H66" i="21"/>
  <c r="AN66" i="21" s="1"/>
  <c r="W66" i="21"/>
  <c r="AS66" i="21"/>
  <c r="AT66" i="21" s="1"/>
  <c r="AC66" i="21"/>
  <c r="AD66" i="21" s="1"/>
  <c r="AE66" i="21" s="1"/>
  <c r="L66" i="21"/>
  <c r="L86" i="21" s="1"/>
  <c r="P4" i="21" s="1"/>
  <c r="D16" i="11" s="1"/>
  <c r="D37" i="11" s="1"/>
  <c r="AQ66" i="21"/>
  <c r="AR66" i="21" s="1"/>
  <c r="AB66" i="21"/>
  <c r="AW66" i="21"/>
  <c r="AD57" i="21"/>
  <c r="AC57" i="21"/>
  <c r="AG11" i="1"/>
  <c r="M32" i="1"/>
  <c r="I62" i="1" s="1"/>
  <c r="O62" i="1" s="1"/>
  <c r="N11" i="1"/>
  <c r="X72" i="1"/>
  <c r="AI72" i="1"/>
  <c r="AJ72" i="1" s="1"/>
  <c r="C72" i="1"/>
  <c r="AY72" i="1" s="1"/>
  <c r="T72" i="1"/>
  <c r="W72" i="1"/>
  <c r="AS72" i="1"/>
  <c r="AT72" i="1" s="1"/>
  <c r="AF72" i="1"/>
  <c r="AU72" i="1"/>
  <c r="AV72" i="1" s="1"/>
  <c r="L72" i="1"/>
  <c r="AG72" i="1"/>
  <c r="AH72" i="1" s="1"/>
  <c r="H72" i="1"/>
  <c r="AN72" i="1" s="1"/>
  <c r="AC72" i="1"/>
  <c r="AD72" i="1" s="1"/>
  <c r="AE72" i="1" s="1"/>
  <c r="AW72" i="1"/>
  <c r="U72" i="1"/>
  <c r="AB72" i="1"/>
  <c r="AQ72" i="1"/>
  <c r="AR72" i="1" s="1"/>
  <c r="V72" i="1"/>
  <c r="AD45" i="1"/>
  <c r="AC45" i="1"/>
  <c r="AS66" i="22"/>
  <c r="AT66" i="22" s="1"/>
  <c r="W66" i="22"/>
  <c r="O33" i="22"/>
  <c r="V83" i="21"/>
  <c r="AU82" i="21"/>
  <c r="AV82" i="21" s="1"/>
  <c r="AI82" i="21"/>
  <c r="AJ82" i="21" s="1"/>
  <c r="AW80" i="21"/>
  <c r="AB80" i="21"/>
  <c r="BS79" i="21"/>
  <c r="AC79" i="21"/>
  <c r="AD79" i="21" s="1"/>
  <c r="AE79" i="21" s="1"/>
  <c r="BS74" i="21"/>
  <c r="AI66" i="21"/>
  <c r="AJ66" i="21" s="1"/>
  <c r="AC42" i="21"/>
  <c r="AD42" i="21"/>
  <c r="V24" i="21"/>
  <c r="AH24" i="21"/>
  <c r="BP68" i="1"/>
  <c r="BP69" i="1"/>
  <c r="BP70" i="1"/>
  <c r="BP71" i="1"/>
  <c r="BP72" i="1"/>
  <c r="BP73" i="1"/>
  <c r="BP74" i="1"/>
  <c r="BP75" i="1"/>
  <c r="BP76" i="1"/>
  <c r="BP77" i="1"/>
  <c r="BP78" i="1"/>
  <c r="BP79" i="1"/>
  <c r="BP80" i="1"/>
  <c r="BP81" i="1"/>
  <c r="BP82" i="1"/>
  <c r="BP83" i="1"/>
  <c r="BP84" i="1"/>
  <c r="BP85" i="1"/>
  <c r="BP87" i="1"/>
  <c r="BP86" i="1"/>
  <c r="X71" i="1"/>
  <c r="AI71" i="1"/>
  <c r="AJ71" i="1" s="1"/>
  <c r="C71" i="1"/>
  <c r="AY71" i="1" s="1"/>
  <c r="T71" i="1"/>
  <c r="L71" i="1"/>
  <c r="AF71" i="1"/>
  <c r="AS71" i="1"/>
  <c r="AT71" i="1" s="1"/>
  <c r="H71" i="1"/>
  <c r="AN71" i="1" s="1"/>
  <c r="AC71" i="1"/>
  <c r="AD71" i="1" s="1"/>
  <c r="AE71" i="1" s="1"/>
  <c r="AU71" i="1"/>
  <c r="AV71" i="1" s="1"/>
  <c r="AG71" i="1"/>
  <c r="AH71" i="1" s="1"/>
  <c r="AB71" i="1"/>
  <c r="AQ71" i="1"/>
  <c r="AR71" i="1" s="1"/>
  <c r="U71" i="1"/>
  <c r="V71" i="1"/>
  <c r="BS73" i="21"/>
  <c r="BS66" i="21"/>
  <c r="BS72" i="21"/>
  <c r="BS78" i="21"/>
  <c r="BS67" i="21"/>
  <c r="BS68" i="21"/>
  <c r="BS69" i="21"/>
  <c r="BS75" i="21"/>
  <c r="L82" i="21"/>
  <c r="AC82" i="21"/>
  <c r="AD82" i="21" s="1"/>
  <c r="AE82" i="21" s="1"/>
  <c r="W80" i="21"/>
  <c r="H80" i="21"/>
  <c r="AN80" i="21" s="1"/>
  <c r="AW79" i="21"/>
  <c r="AB79" i="21"/>
  <c r="BN68" i="21"/>
  <c r="BN64" i="21" s="1"/>
  <c r="BX78" i="21" s="1"/>
  <c r="BV78" i="21" s="1"/>
  <c r="BN76" i="21"/>
  <c r="BN71" i="21"/>
  <c r="BN81" i="21"/>
  <c r="BN70" i="21"/>
  <c r="H74" i="21"/>
  <c r="AN74" i="21" s="1"/>
  <c r="W74" i="21"/>
  <c r="AS74" i="21"/>
  <c r="AT74" i="21" s="1"/>
  <c r="AB74" i="21"/>
  <c r="AW74" i="21"/>
  <c r="L74" i="21"/>
  <c r="BN73" i="21"/>
  <c r="AG66" i="21"/>
  <c r="AH66" i="21" s="1"/>
  <c r="AD49" i="21"/>
  <c r="C79" i="1"/>
  <c r="AY79" i="1" s="1"/>
  <c r="T79" i="1"/>
  <c r="L79" i="1"/>
  <c r="AQ79" i="1"/>
  <c r="AR79" i="1" s="1"/>
  <c r="AF79" i="1"/>
  <c r="U79" i="1"/>
  <c r="AG79" i="1"/>
  <c r="AH79" i="1" s="1"/>
  <c r="AS79" i="1"/>
  <c r="AT79" i="1" s="1"/>
  <c r="AC79" i="1"/>
  <c r="AD79" i="1" s="1"/>
  <c r="AE79" i="1" s="1"/>
  <c r="H79" i="1"/>
  <c r="AN79" i="1" s="1"/>
  <c r="AI79" i="1"/>
  <c r="AJ79" i="1" s="1"/>
  <c r="AB79" i="1"/>
  <c r="AW79" i="1"/>
  <c r="AU79" i="1"/>
  <c r="AV79" i="1" s="1"/>
  <c r="AW71" i="1"/>
  <c r="AF83" i="21"/>
  <c r="T83" i="21"/>
  <c r="C83" i="21"/>
  <c r="BN82" i="21"/>
  <c r="AS82" i="21"/>
  <c r="AT82" i="21" s="1"/>
  <c r="AG82" i="21"/>
  <c r="AH82" i="21" s="1"/>
  <c r="U82" i="21"/>
  <c r="C82" i="21"/>
  <c r="AB81" i="21"/>
  <c r="AU81" i="21"/>
  <c r="AV81" i="21" s="1"/>
  <c r="AU80" i="21"/>
  <c r="AV80" i="21" s="1"/>
  <c r="V80" i="21"/>
  <c r="X79" i="21"/>
  <c r="BS77" i="21"/>
  <c r="V74" i="21"/>
  <c r="C74" i="21"/>
  <c r="AB68" i="21"/>
  <c r="AU68" i="21"/>
  <c r="AV68" i="21" s="1"/>
  <c r="H68" i="21"/>
  <c r="AN68" i="21" s="1"/>
  <c r="W68" i="21"/>
  <c r="AI68" i="21"/>
  <c r="AJ68" i="21" s="1"/>
  <c r="X68" i="21"/>
  <c r="AW68" i="21"/>
  <c r="AC68" i="21"/>
  <c r="AD68" i="21" s="1"/>
  <c r="AE68" i="21" s="1"/>
  <c r="V68" i="21"/>
  <c r="AF66" i="21"/>
  <c r="AC44" i="21"/>
  <c r="AH30" i="21"/>
  <c r="E88" i="1"/>
  <c r="X79" i="1"/>
  <c r="BB68" i="1"/>
  <c r="BB76" i="1"/>
  <c r="BB79" i="1"/>
  <c r="BB82" i="1"/>
  <c r="BB83" i="1"/>
  <c r="BB78" i="1"/>
  <c r="BB69" i="1"/>
  <c r="BB70" i="1"/>
  <c r="BB74" i="1"/>
  <c r="BB73" i="1"/>
  <c r="BB72" i="1"/>
  <c r="BB84" i="1"/>
  <c r="BB75" i="1"/>
  <c r="BB71" i="1"/>
  <c r="BB87" i="1"/>
  <c r="BB77" i="1"/>
  <c r="BB85" i="1"/>
  <c r="BB86" i="1"/>
  <c r="BB81" i="1"/>
  <c r="BF68" i="21"/>
  <c r="BF64" i="21" s="1"/>
  <c r="BX70" i="21" s="1"/>
  <c r="BV70" i="21" s="1"/>
  <c r="BF76" i="21"/>
  <c r="BF69" i="21"/>
  <c r="L69" i="21"/>
  <c r="AC69" i="21"/>
  <c r="AD69" i="21" s="1"/>
  <c r="AE69" i="21" s="1"/>
  <c r="BS76" i="1"/>
  <c r="BS73" i="1"/>
  <c r="BS79" i="1"/>
  <c r="BS71" i="1"/>
  <c r="BS74" i="1"/>
  <c r="BS69" i="1"/>
  <c r="BS72" i="1"/>
  <c r="BS75" i="1"/>
  <c r="BS77" i="1"/>
  <c r="BS78" i="1"/>
  <c r="BS84" i="1"/>
  <c r="BS82" i="1"/>
  <c r="BS85" i="1"/>
  <c r="BS87" i="1"/>
  <c r="BS70" i="1"/>
  <c r="BS81" i="1"/>
  <c r="BS83" i="1"/>
  <c r="BD68" i="1"/>
  <c r="BD69" i="1"/>
  <c r="BD70" i="1"/>
  <c r="BD71" i="1"/>
  <c r="BD72" i="1"/>
  <c r="BD73" i="1"/>
  <c r="BD74" i="1"/>
  <c r="BD76" i="1"/>
  <c r="BD77" i="1"/>
  <c r="BD81" i="1"/>
  <c r="BD75" i="1"/>
  <c r="BD82" i="1"/>
  <c r="BD79" i="1"/>
  <c r="BD80" i="1"/>
  <c r="BD86" i="1"/>
  <c r="BC75" i="1"/>
  <c r="BC69" i="1"/>
  <c r="BC70" i="1"/>
  <c r="BC68" i="1"/>
  <c r="BC76" i="1"/>
  <c r="BC79" i="1"/>
  <c r="BC71" i="1"/>
  <c r="BC72" i="1"/>
  <c r="BC74" i="1"/>
  <c r="BC81" i="1"/>
  <c r="BC87" i="1"/>
  <c r="BC82" i="1"/>
  <c r="BM67" i="21"/>
  <c r="BM75" i="21"/>
  <c r="X70" i="21"/>
  <c r="AB69" i="21"/>
  <c r="BM66" i="21"/>
  <c r="BS86" i="1"/>
  <c r="BC77" i="1"/>
  <c r="BE67" i="21"/>
  <c r="BE75" i="21"/>
  <c r="AD26" i="21"/>
  <c r="V19" i="21"/>
  <c r="AH19" i="21"/>
  <c r="AP85" i="1"/>
  <c r="AO85" i="1"/>
  <c r="AP81" i="1"/>
  <c r="AO81" i="1"/>
  <c r="BS80" i="1"/>
  <c r="AP74" i="1"/>
  <c r="AO74" i="1"/>
  <c r="X73" i="1"/>
  <c r="AI73" i="1"/>
  <c r="AJ73" i="1" s="1"/>
  <c r="C73" i="1"/>
  <c r="AY73" i="1" s="1"/>
  <c r="T73" i="1"/>
  <c r="L73" i="1"/>
  <c r="AF73" i="1"/>
  <c r="AS73" i="1"/>
  <c r="AT73" i="1" s="1"/>
  <c r="AU73" i="1"/>
  <c r="AV73" i="1" s="1"/>
  <c r="AG73" i="1"/>
  <c r="AH73" i="1" s="1"/>
  <c r="AW73" i="1"/>
  <c r="H73" i="1"/>
  <c r="AN73" i="1" s="1"/>
  <c r="AC73" i="1"/>
  <c r="AD73" i="1" s="1"/>
  <c r="AE73" i="1" s="1"/>
  <c r="V73" i="1"/>
  <c r="W73" i="1"/>
  <c r="U73" i="1"/>
  <c r="BS68" i="1"/>
  <c r="AD57" i="1"/>
  <c r="AC57" i="1"/>
  <c r="AH31" i="1"/>
  <c r="V31" i="1"/>
  <c r="U88" i="1"/>
  <c r="BF81" i="21"/>
  <c r="BM80" i="21"/>
  <c r="BE80" i="21"/>
  <c r="BF77" i="21"/>
  <c r="L77" i="21"/>
  <c r="AC77" i="21"/>
  <c r="AD77" i="21" s="1"/>
  <c r="AE77" i="21" s="1"/>
  <c r="BE71" i="21"/>
  <c r="C71" i="21"/>
  <c r="T71" i="21"/>
  <c r="BF70" i="21"/>
  <c r="V70" i="21"/>
  <c r="BH69" i="21"/>
  <c r="BH64" i="21" s="1"/>
  <c r="BX72" i="21" s="1"/>
  <c r="BV72" i="21" s="1"/>
  <c r="AU69" i="21"/>
  <c r="AV69" i="21" s="1"/>
  <c r="AI69" i="21"/>
  <c r="AJ69" i="21" s="1"/>
  <c r="W69" i="21"/>
  <c r="BH68" i="21"/>
  <c r="AO87" i="1"/>
  <c r="AP87" i="1"/>
  <c r="C80" i="1"/>
  <c r="AY80" i="1" s="1"/>
  <c r="T80" i="1"/>
  <c r="AB80" i="1"/>
  <c r="AW80" i="1"/>
  <c r="AC80" i="1"/>
  <c r="AD80" i="1" s="1"/>
  <c r="AE80" i="1" s="1"/>
  <c r="L80" i="1"/>
  <c r="AQ80" i="1"/>
  <c r="AR80" i="1" s="1"/>
  <c r="H80" i="1"/>
  <c r="AN80" i="1" s="1"/>
  <c r="X80" i="1"/>
  <c r="U80" i="1"/>
  <c r="AS80" i="1"/>
  <c r="AT80" i="1" s="1"/>
  <c r="W80" i="1"/>
  <c r="AU80" i="1"/>
  <c r="AV80" i="1" s="1"/>
  <c r="AI80" i="1"/>
  <c r="AJ80" i="1" s="1"/>
  <c r="BD78" i="1"/>
  <c r="BO69" i="1"/>
  <c r="BO71" i="1"/>
  <c r="BO73" i="1"/>
  <c r="BO70" i="1"/>
  <c r="BO77" i="1"/>
  <c r="BO68" i="1"/>
  <c r="BO81" i="1"/>
  <c r="BO72" i="1"/>
  <c r="BO75" i="1"/>
  <c r="BO80" i="1"/>
  <c r="AO77" i="1"/>
  <c r="BJ68" i="1"/>
  <c r="BJ70" i="1"/>
  <c r="BJ72" i="1"/>
  <c r="BJ74" i="1"/>
  <c r="BJ76" i="1"/>
  <c r="BJ78" i="1"/>
  <c r="BJ79" i="1"/>
  <c r="BJ82" i="1"/>
  <c r="BJ83" i="1"/>
  <c r="BJ73" i="1"/>
  <c r="X75" i="1"/>
  <c r="AI75" i="1"/>
  <c r="AJ75" i="1" s="1"/>
  <c r="C75" i="1"/>
  <c r="AY75" i="1" s="1"/>
  <c r="T75" i="1"/>
  <c r="L75" i="1"/>
  <c r="AF75" i="1"/>
  <c r="AS75" i="1"/>
  <c r="AT75" i="1" s="1"/>
  <c r="AG75" i="1"/>
  <c r="AH75" i="1" s="1"/>
  <c r="AU75" i="1"/>
  <c r="AV75" i="1" s="1"/>
  <c r="U75" i="1"/>
  <c r="AW75" i="1"/>
  <c r="X70" i="1"/>
  <c r="AI70" i="1"/>
  <c r="AJ70" i="1" s="1"/>
  <c r="C70" i="1"/>
  <c r="AY70" i="1" s="1"/>
  <c r="T70" i="1"/>
  <c r="W70" i="1"/>
  <c r="H70" i="1"/>
  <c r="AN70" i="1" s="1"/>
  <c r="AC70" i="1"/>
  <c r="AD70" i="1" s="1"/>
  <c r="AE70" i="1" s="1"/>
  <c r="AS70" i="1"/>
  <c r="AT70" i="1" s="1"/>
  <c r="AF70" i="1"/>
  <c r="AU70" i="1"/>
  <c r="AV70" i="1" s="1"/>
  <c r="AB70" i="1"/>
  <c r="AQ70" i="1"/>
  <c r="AR70" i="1" s="1"/>
  <c r="BT68" i="1"/>
  <c r="BT69" i="1"/>
  <c r="BT70" i="1"/>
  <c r="BT71" i="1"/>
  <c r="BT72" i="1"/>
  <c r="BT73" i="1"/>
  <c r="BT74" i="1"/>
  <c r="BT78" i="1"/>
  <c r="BT79" i="1"/>
  <c r="BQ77" i="1"/>
  <c r="BQ69" i="1"/>
  <c r="BQ72" i="1"/>
  <c r="BQ75" i="1"/>
  <c r="BQ80" i="1"/>
  <c r="BQ82" i="1"/>
  <c r="BQ83" i="1"/>
  <c r="BQ84" i="1"/>
  <c r="BQ85" i="1"/>
  <c r="BQ86" i="1"/>
  <c r="BQ87" i="1"/>
  <c r="BQ70" i="1"/>
  <c r="BQ68" i="1"/>
  <c r="BQ71" i="1"/>
  <c r="BQ74" i="1"/>
  <c r="BT77" i="1"/>
  <c r="V20" i="1"/>
  <c r="AH20" i="1"/>
  <c r="L16" i="1"/>
  <c r="N16" i="1"/>
  <c r="AE16" i="1"/>
  <c r="BT84" i="1"/>
  <c r="BR71" i="1"/>
  <c r="BR74" i="1"/>
  <c r="BR69" i="1"/>
  <c r="BR66" i="1" s="1"/>
  <c r="BX84" i="1" s="1"/>
  <c r="BV84" i="1" s="1"/>
  <c r="BR72" i="1"/>
  <c r="BR75" i="1"/>
  <c r="BR77" i="1"/>
  <c r="BR80" i="1"/>
  <c r="BR82" i="1"/>
  <c r="BR83" i="1"/>
  <c r="BR70" i="1"/>
  <c r="BR73" i="1"/>
  <c r="BR79" i="1"/>
  <c r="BQ81" i="1"/>
  <c r="BJ80" i="1"/>
  <c r="BQ79" i="1"/>
  <c r="AP78" i="1"/>
  <c r="AO78" i="1"/>
  <c r="BJ75" i="1"/>
  <c r="H75" i="1"/>
  <c r="AN75" i="1" s="1"/>
  <c r="BJ69" i="1"/>
  <c r="BR87" i="1"/>
  <c r="BU68" i="1"/>
  <c r="BU70" i="1"/>
  <c r="BU72" i="1"/>
  <c r="BU74" i="1"/>
  <c r="BU75" i="1"/>
  <c r="BU73" i="1"/>
  <c r="BU78" i="1"/>
  <c r="BU71" i="1"/>
  <c r="BU79" i="1"/>
  <c r="BU76" i="1"/>
  <c r="BR85" i="1"/>
  <c r="BT83" i="1"/>
  <c r="BO82" i="1"/>
  <c r="AO82" i="1"/>
  <c r="BU80" i="1"/>
  <c r="BO79" i="1"/>
  <c r="BT76" i="1"/>
  <c r="C76" i="1"/>
  <c r="AY76" i="1" s="1"/>
  <c r="T76" i="1"/>
  <c r="L76" i="1"/>
  <c r="AQ76" i="1"/>
  <c r="AR76" i="1" s="1"/>
  <c r="H76" i="1"/>
  <c r="AN76" i="1" s="1"/>
  <c r="AB76" i="1"/>
  <c r="AC76" i="1"/>
  <c r="AD76" i="1" s="1"/>
  <c r="AE76" i="1" s="1"/>
  <c r="AF76" i="1"/>
  <c r="AS76" i="1"/>
  <c r="AT76" i="1" s="1"/>
  <c r="X76" i="1"/>
  <c r="AC75" i="1"/>
  <c r="AD75" i="1" s="1"/>
  <c r="AE75" i="1" s="1"/>
  <c r="X74" i="1"/>
  <c r="AI74" i="1"/>
  <c r="AJ74" i="1" s="1"/>
  <c r="C74" i="1"/>
  <c r="AY74" i="1" s="1"/>
  <c r="T74" i="1"/>
  <c r="W74" i="1"/>
  <c r="AF74" i="1"/>
  <c r="AU74" i="1"/>
  <c r="AV74" i="1" s="1"/>
  <c r="L74" i="1"/>
  <c r="AG74" i="1"/>
  <c r="AH74" i="1" s="1"/>
  <c r="AW74" i="1"/>
  <c r="AS74" i="1"/>
  <c r="AT74" i="1" s="1"/>
  <c r="C81" i="1"/>
  <c r="AY81" i="1" s="1"/>
  <c r="T81" i="1"/>
  <c r="BL68" i="1"/>
  <c r="BL69" i="1"/>
  <c r="BL70" i="1"/>
  <c r="BL71" i="1"/>
  <c r="BL72" i="1"/>
  <c r="BL73" i="1"/>
  <c r="BL74" i="1"/>
  <c r="BL75" i="1"/>
  <c r="C78" i="1"/>
  <c r="AY78" i="1" s="1"/>
  <c r="T78" i="1"/>
  <c r="W78" i="1"/>
  <c r="AI78" i="1"/>
  <c r="AJ78" i="1" s="1"/>
  <c r="AU78" i="1"/>
  <c r="AV78" i="1" s="1"/>
  <c r="AS77" i="1"/>
  <c r="AT77" i="1" s="1"/>
  <c r="AF77" i="1"/>
  <c r="X69" i="1"/>
  <c r="AI69" i="1"/>
  <c r="AJ69" i="1" s="1"/>
  <c r="C69" i="1"/>
  <c r="AY69" i="1" s="1"/>
  <c r="T69" i="1"/>
  <c r="L69" i="1"/>
  <c r="AF69" i="1"/>
  <c r="AS69" i="1"/>
  <c r="AT69" i="1" s="1"/>
  <c r="AO68" i="1"/>
  <c r="X68" i="1"/>
  <c r="AI68" i="1"/>
  <c r="AJ68" i="1" s="1"/>
  <c r="C68" i="1"/>
  <c r="T68" i="1"/>
  <c r="W68" i="1"/>
  <c r="AC58" i="1"/>
  <c r="AD58" i="1"/>
  <c r="AD46" i="1"/>
  <c r="AC46" i="1"/>
  <c r="AC42" i="1"/>
  <c r="AD42" i="1"/>
  <c r="C77" i="1"/>
  <c r="AY77" i="1" s="1"/>
  <c r="T77" i="1"/>
  <c r="AB77" i="1"/>
  <c r="AW77" i="1"/>
  <c r="AU69" i="1"/>
  <c r="AV69" i="1" s="1"/>
  <c r="AD59" i="1"/>
  <c r="AD53" i="1"/>
  <c r="AC53" i="1"/>
  <c r="V28" i="1"/>
  <c r="AH28" i="1"/>
  <c r="AC24" i="1"/>
  <c r="AD24" i="1"/>
  <c r="L15" i="1"/>
  <c r="C82" i="1"/>
  <c r="AY82" i="1" s="1"/>
  <c r="T82" i="1"/>
  <c r="AC69" i="1"/>
  <c r="AD69" i="1" s="1"/>
  <c r="AE69" i="1" s="1"/>
  <c r="H69" i="1"/>
  <c r="AN69" i="1" s="1"/>
  <c r="AC43" i="1"/>
  <c r="AD43" i="1"/>
  <c r="AF14" i="1"/>
  <c r="L14" i="1"/>
  <c r="AE14" i="1"/>
  <c r="L13" i="1"/>
  <c r="AQ82" i="1"/>
  <c r="AR82" i="1" s="1"/>
  <c r="AF82" i="1"/>
  <c r="U82" i="1"/>
  <c r="AU81" i="1"/>
  <c r="AV81" i="1" s="1"/>
  <c r="AI81" i="1"/>
  <c r="AJ81" i="1" s="1"/>
  <c r="W81" i="1"/>
  <c r="X78" i="1"/>
  <c r="AG77" i="1"/>
  <c r="AH77" i="1" s="1"/>
  <c r="BL76" i="1"/>
  <c r="AQ69" i="1"/>
  <c r="AR69" i="1" s="1"/>
  <c r="AB69" i="1"/>
  <c r="AQ68" i="1"/>
  <c r="AR68" i="1" s="1"/>
  <c r="AB68" i="1"/>
  <c r="AC50" i="1"/>
  <c r="AD50" i="1"/>
  <c r="L40" i="1"/>
  <c r="N14" i="1"/>
  <c r="N13" i="1"/>
  <c r="V12" i="1"/>
  <c r="AH12" i="1"/>
  <c r="AC16" i="1"/>
  <c r="AD16" i="1"/>
  <c r="AF16" i="1" s="1"/>
  <c r="L11" i="1"/>
  <c r="AF11" i="1"/>
  <c r="AD31" i="1"/>
  <c r="AC88" i="1" s="1"/>
  <c r="AD29" i="1"/>
  <c r="AH25" i="1"/>
  <c r="AD21" i="1"/>
  <c r="AH17" i="1"/>
  <c r="AF15" i="1"/>
  <c r="AD13" i="1"/>
  <c r="AF13" i="1" s="1"/>
  <c r="AC12" i="1"/>
  <c r="AE15" i="1"/>
  <c r="N15" i="1"/>
  <c r="BK64" i="22" l="1"/>
  <c r="BX75" i="22" s="1"/>
  <c r="BV75" i="22" s="1"/>
  <c r="L99" i="1"/>
  <c r="J31" i="1" s="1"/>
  <c r="AE31" i="1" s="1"/>
  <c r="BJ72" i="21"/>
  <c r="BJ66" i="21"/>
  <c r="BJ67" i="21"/>
  <c r="BJ68" i="21"/>
  <c r="BJ69" i="21"/>
  <c r="BJ75" i="21"/>
  <c r="BJ76" i="21"/>
  <c r="BJ77" i="21"/>
  <c r="BJ78" i="21"/>
  <c r="BJ79" i="21"/>
  <c r="BJ73" i="21"/>
  <c r="BJ84" i="21"/>
  <c r="BJ71" i="21"/>
  <c r="BJ80" i="21"/>
  <c r="BJ81" i="21"/>
  <c r="BJ82" i="21"/>
  <c r="BJ70" i="21"/>
  <c r="BJ83" i="21"/>
  <c r="BJ74" i="21"/>
  <c r="BJ85" i="21"/>
  <c r="AO69" i="22"/>
  <c r="AP69" i="22"/>
  <c r="BT66" i="1"/>
  <c r="BX86" i="1" s="1"/>
  <c r="BV86" i="1" s="1"/>
  <c r="BC66" i="1"/>
  <c r="BX69" i="1" s="1"/>
  <c r="BV69" i="1" s="1"/>
  <c r="BP66" i="1"/>
  <c r="BX82" i="1" s="1"/>
  <c r="BV82" i="1" s="1"/>
  <c r="AE13" i="1"/>
  <c r="BL66" i="1"/>
  <c r="BX78" i="1" s="1"/>
  <c r="BV78" i="1" s="1"/>
  <c r="BJ66" i="1"/>
  <c r="BX76" i="1" s="1"/>
  <c r="BV76" i="1" s="1"/>
  <c r="BN78" i="1"/>
  <c r="BN68" i="1"/>
  <c r="BN81" i="1"/>
  <c r="BN76" i="1"/>
  <c r="BN69" i="1"/>
  <c r="BN70" i="1"/>
  <c r="BN77" i="1"/>
  <c r="BN86" i="1"/>
  <c r="BN71" i="1"/>
  <c r="BN72" i="1"/>
  <c r="BN79" i="1"/>
  <c r="BN82" i="1"/>
  <c r="BN80" i="1"/>
  <c r="BN84" i="1"/>
  <c r="BN87" i="1"/>
  <c r="BN83" i="1"/>
  <c r="BN75" i="1"/>
  <c r="BN85" i="1"/>
  <c r="BN73" i="1"/>
  <c r="BN74" i="1"/>
  <c r="AF31" i="1"/>
  <c r="V88" i="1"/>
  <c r="L88" i="1" s="1"/>
  <c r="BO69" i="21"/>
  <c r="BO77" i="21"/>
  <c r="BO70" i="21"/>
  <c r="BO82" i="21"/>
  <c r="BO68" i="21"/>
  <c r="BO71" i="21"/>
  <c r="BO81" i="21"/>
  <c r="BO73" i="21"/>
  <c r="BO85" i="21"/>
  <c r="BO74" i="21"/>
  <c r="BO75" i="21"/>
  <c r="BO80" i="21"/>
  <c r="BO76" i="21"/>
  <c r="BO83" i="21"/>
  <c r="BO72" i="21"/>
  <c r="BO84" i="21"/>
  <c r="BO66" i="21"/>
  <c r="BO67" i="21"/>
  <c r="BO79" i="21"/>
  <c r="BO78" i="21"/>
  <c r="BF71" i="1"/>
  <c r="BF74" i="1"/>
  <c r="BF75" i="1"/>
  <c r="BF69" i="1"/>
  <c r="BF72" i="1"/>
  <c r="BF77" i="1"/>
  <c r="BF81" i="1"/>
  <c r="BF70" i="1"/>
  <c r="BF73" i="1"/>
  <c r="BF80" i="1"/>
  <c r="BF68" i="1"/>
  <c r="BF83" i="1"/>
  <c r="BF85" i="1"/>
  <c r="BF86" i="1"/>
  <c r="BF79" i="1"/>
  <c r="BF78" i="1"/>
  <c r="BF84" i="1"/>
  <c r="BF76" i="1"/>
  <c r="BF82" i="1"/>
  <c r="BF87" i="1"/>
  <c r="AO75" i="22"/>
  <c r="AP75" i="22"/>
  <c r="AP76" i="21"/>
  <c r="AO76" i="21"/>
  <c r="BU66" i="1"/>
  <c r="BX87" i="1" s="1"/>
  <c r="BV87" i="1" s="1"/>
  <c r="AP73" i="1"/>
  <c r="AO73" i="1"/>
  <c r="BD66" i="1"/>
  <c r="BX70" i="1" s="1"/>
  <c r="BV70" i="1" s="1"/>
  <c r="BE69" i="1"/>
  <c r="BE71" i="1"/>
  <c r="BE73" i="1"/>
  <c r="BE78" i="1"/>
  <c r="BE72" i="1"/>
  <c r="BE77" i="1"/>
  <c r="BE81" i="1"/>
  <c r="BE70" i="1"/>
  <c r="BE68" i="1"/>
  <c r="BE74" i="1"/>
  <c r="BE75" i="1"/>
  <c r="BE80" i="1"/>
  <c r="BE86" i="1"/>
  <c r="BE76" i="1"/>
  <c r="BE82" i="1"/>
  <c r="BE83" i="1"/>
  <c r="BE85" i="1"/>
  <c r="BE87" i="1"/>
  <c r="BE84" i="1"/>
  <c r="BE79" i="1"/>
  <c r="AP74" i="21"/>
  <c r="AO74" i="21"/>
  <c r="AP80" i="21"/>
  <c r="AO80" i="21"/>
  <c r="AO66" i="21"/>
  <c r="AP66" i="21"/>
  <c r="AP67" i="22"/>
  <c r="AO67" i="22"/>
  <c r="BQ73" i="22"/>
  <c r="BQ69" i="22"/>
  <c r="BQ74" i="22"/>
  <c r="BQ75" i="22"/>
  <c r="BQ81" i="22"/>
  <c r="BQ72" i="22"/>
  <c r="BQ79" i="22"/>
  <c r="BQ66" i="22"/>
  <c r="BQ67" i="22"/>
  <c r="BQ68" i="22"/>
  <c r="BQ82" i="22"/>
  <c r="BQ70" i="22"/>
  <c r="BQ76" i="22"/>
  <c r="BQ78" i="22"/>
  <c r="BQ80" i="22"/>
  <c r="BQ84" i="22"/>
  <c r="BQ83" i="22"/>
  <c r="BQ71" i="22"/>
  <c r="BQ85" i="22"/>
  <c r="BQ77" i="22"/>
  <c r="AO67" i="21"/>
  <c r="AP67" i="21"/>
  <c r="BI73" i="22"/>
  <c r="BI66" i="22"/>
  <c r="BI67" i="22"/>
  <c r="BI68" i="22"/>
  <c r="BI81" i="22"/>
  <c r="BI70" i="22"/>
  <c r="BI71" i="22"/>
  <c r="BI79" i="22"/>
  <c r="BI82" i="22"/>
  <c r="BI69" i="22"/>
  <c r="BI77" i="22"/>
  <c r="BI85" i="22"/>
  <c r="BI83" i="22"/>
  <c r="BI74" i="22"/>
  <c r="BI76" i="22"/>
  <c r="BI78" i="22"/>
  <c r="BI80" i="22"/>
  <c r="BI75" i="22"/>
  <c r="BI84" i="22"/>
  <c r="BI72" i="22"/>
  <c r="BT66" i="21"/>
  <c r="BT74" i="21"/>
  <c r="BT79" i="21"/>
  <c r="BT67" i="21"/>
  <c r="BT69" i="21"/>
  <c r="BT72" i="21"/>
  <c r="BT76" i="21"/>
  <c r="BT84" i="21"/>
  <c r="BT68" i="21"/>
  <c r="BT77" i="21"/>
  <c r="BT75" i="21"/>
  <c r="BT78" i="21"/>
  <c r="BT83" i="21"/>
  <c r="BT85" i="21"/>
  <c r="BT81" i="21"/>
  <c r="BT82" i="21"/>
  <c r="BT73" i="21"/>
  <c r="BT70" i="21"/>
  <c r="BT80" i="21"/>
  <c r="BT71" i="21"/>
  <c r="BL64" i="22"/>
  <c r="BX76" i="22" s="1"/>
  <c r="BV76" i="22" s="1"/>
  <c r="AO85" i="22"/>
  <c r="AP85" i="22"/>
  <c r="BO64" i="22"/>
  <c r="BX79" i="22" s="1"/>
  <c r="BV79" i="22" s="1"/>
  <c r="BM64" i="21"/>
  <c r="BX77" i="21" s="1"/>
  <c r="BV77" i="21" s="1"/>
  <c r="AP84" i="21"/>
  <c r="AO84" i="21"/>
  <c r="L86" i="22"/>
  <c r="P4" i="22" s="1"/>
  <c r="AP73" i="22"/>
  <c r="AO73" i="22"/>
  <c r="BG64" i="21"/>
  <c r="BX71" i="21" s="1"/>
  <c r="BV71" i="21" s="1"/>
  <c r="BJ64" i="22"/>
  <c r="BX74" i="22" s="1"/>
  <c r="BV74" i="22" s="1"/>
  <c r="AP68" i="22"/>
  <c r="AO68" i="22"/>
  <c r="AY68" i="1"/>
  <c r="G118" i="1"/>
  <c r="H118" i="1" s="1"/>
  <c r="G120" i="1"/>
  <c r="H120" i="1" s="1"/>
  <c r="G122" i="1"/>
  <c r="H122" i="1" s="1"/>
  <c r="G124" i="1"/>
  <c r="H124" i="1" s="1"/>
  <c r="G130" i="1"/>
  <c r="H130" i="1" s="1"/>
  <c r="G132" i="1"/>
  <c r="H132" i="1" s="1"/>
  <c r="G134" i="1"/>
  <c r="H134" i="1" s="1"/>
  <c r="G125" i="1"/>
  <c r="H125" i="1" s="1"/>
  <c r="G119" i="1"/>
  <c r="H119" i="1" s="1"/>
  <c r="G131" i="1"/>
  <c r="H131" i="1" s="1"/>
  <c r="G123" i="1"/>
  <c r="H123" i="1" s="1"/>
  <c r="G121" i="1"/>
  <c r="H121" i="1" s="1"/>
  <c r="G133" i="1"/>
  <c r="H133" i="1" s="1"/>
  <c r="BQ66" i="1"/>
  <c r="BX83" i="1" s="1"/>
  <c r="BV83" i="1" s="1"/>
  <c r="BG77" i="1"/>
  <c r="BG73" i="1"/>
  <c r="BG80" i="1"/>
  <c r="BG71" i="1"/>
  <c r="BG74" i="1"/>
  <c r="BG75" i="1"/>
  <c r="BG69" i="1"/>
  <c r="BG72" i="1"/>
  <c r="BG78" i="1"/>
  <c r="BG84" i="1"/>
  <c r="BG68" i="1"/>
  <c r="BG83" i="1"/>
  <c r="BG85" i="1"/>
  <c r="BG76" i="1"/>
  <c r="BG82" i="1"/>
  <c r="BG70" i="1"/>
  <c r="BG87" i="1"/>
  <c r="BG81" i="1"/>
  <c r="BG79" i="1"/>
  <c r="BG86" i="1"/>
  <c r="BB66" i="1"/>
  <c r="BX68" i="1" s="1"/>
  <c r="BV68" i="1" s="1"/>
  <c r="BD66" i="21"/>
  <c r="BD74" i="21"/>
  <c r="BD79" i="21"/>
  <c r="BD71" i="21"/>
  <c r="BD83" i="21"/>
  <c r="BD69" i="21"/>
  <c r="BD73" i="21"/>
  <c r="BD84" i="21"/>
  <c r="BD75" i="21"/>
  <c r="BD77" i="21"/>
  <c r="BD81" i="21"/>
  <c r="BD82" i="21"/>
  <c r="BD85" i="21"/>
  <c r="BD68" i="21"/>
  <c r="BD67" i="21"/>
  <c r="BD78" i="21"/>
  <c r="BD80" i="21"/>
  <c r="BD76" i="21"/>
  <c r="BD70" i="21"/>
  <c r="BD72" i="21"/>
  <c r="BP70" i="21"/>
  <c r="BP76" i="21"/>
  <c r="BP77" i="21"/>
  <c r="BP83" i="21"/>
  <c r="BP71" i="21"/>
  <c r="BP68" i="21"/>
  <c r="BP69" i="21"/>
  <c r="BP74" i="21"/>
  <c r="BP75" i="21"/>
  <c r="BP80" i="21"/>
  <c r="BP81" i="21"/>
  <c r="BP82" i="21"/>
  <c r="BP66" i="21"/>
  <c r="BP78" i="21"/>
  <c r="BP79" i="21"/>
  <c r="BP85" i="21"/>
  <c r="BP72" i="21"/>
  <c r="BP73" i="21"/>
  <c r="BP84" i="21"/>
  <c r="BP67" i="21"/>
  <c r="AP72" i="1"/>
  <c r="AO72" i="1"/>
  <c r="BB72" i="21"/>
  <c r="BB66" i="21"/>
  <c r="BB67" i="21"/>
  <c r="BB73" i="21"/>
  <c r="BB74" i="21"/>
  <c r="BB69" i="21"/>
  <c r="BB71" i="21"/>
  <c r="BB84" i="21"/>
  <c r="BB68" i="21"/>
  <c r="BB70" i="21"/>
  <c r="BB76" i="21"/>
  <c r="BB75" i="21"/>
  <c r="BB77" i="21"/>
  <c r="BB83" i="21"/>
  <c r="BB85" i="21"/>
  <c r="BB79" i="21"/>
  <c r="BB80" i="21"/>
  <c r="BB81" i="21"/>
  <c r="BB82" i="21"/>
  <c r="BB78" i="21"/>
  <c r="BK78" i="1"/>
  <c r="BK79" i="1"/>
  <c r="BK76" i="1"/>
  <c r="BK77" i="1"/>
  <c r="BK70" i="1"/>
  <c r="BK68" i="1"/>
  <c r="BK73" i="1"/>
  <c r="BK85" i="1"/>
  <c r="BK71" i="1"/>
  <c r="BK81" i="1"/>
  <c r="BK82" i="1"/>
  <c r="BK69" i="1"/>
  <c r="BK72" i="1"/>
  <c r="BK83" i="1"/>
  <c r="BK87" i="1"/>
  <c r="BK80" i="1"/>
  <c r="BK84" i="1"/>
  <c r="BK75" i="1"/>
  <c r="BK74" i="1"/>
  <c r="BK86" i="1"/>
  <c r="BM76" i="1"/>
  <c r="BM68" i="1"/>
  <c r="BM81" i="1"/>
  <c r="BM71" i="1"/>
  <c r="BM69" i="1"/>
  <c r="BM74" i="1"/>
  <c r="BM75" i="1"/>
  <c r="BM86" i="1"/>
  <c r="BM72" i="1"/>
  <c r="BM83" i="1"/>
  <c r="BM70" i="1"/>
  <c r="BM78" i="1"/>
  <c r="BM82" i="1"/>
  <c r="BM80" i="1"/>
  <c r="BM84" i="1"/>
  <c r="BM87" i="1"/>
  <c r="BM85" i="1"/>
  <c r="BM77" i="1"/>
  <c r="BM73" i="1"/>
  <c r="BM79" i="1"/>
  <c r="BS64" i="21"/>
  <c r="BX83" i="21" s="1"/>
  <c r="BV83" i="21" s="1"/>
  <c r="BK73" i="21"/>
  <c r="BK78" i="21"/>
  <c r="BK66" i="21"/>
  <c r="BK67" i="21"/>
  <c r="BK74" i="21"/>
  <c r="BK84" i="21"/>
  <c r="BK72" i="21"/>
  <c r="BK76" i="21"/>
  <c r="BK70" i="21"/>
  <c r="BK83" i="21"/>
  <c r="BK71" i="21"/>
  <c r="BK68" i="21"/>
  <c r="BK69" i="21"/>
  <c r="BK75" i="21"/>
  <c r="BK81" i="21"/>
  <c r="BK80" i="21"/>
  <c r="BK77" i="21"/>
  <c r="BK82" i="21"/>
  <c r="BK85" i="21"/>
  <c r="BK79" i="21"/>
  <c r="BC67" i="22"/>
  <c r="BC75" i="22"/>
  <c r="BC83" i="22"/>
  <c r="BC66" i="22"/>
  <c r="BC81" i="22"/>
  <c r="BC73" i="22"/>
  <c r="BC76" i="22"/>
  <c r="BC84" i="22"/>
  <c r="BC71" i="22"/>
  <c r="BC80" i="22"/>
  <c r="BC68" i="22"/>
  <c r="BC77" i="22"/>
  <c r="BC70" i="22"/>
  <c r="BC69" i="22"/>
  <c r="BC72" i="22"/>
  <c r="BC78" i="22"/>
  <c r="BC79" i="22"/>
  <c r="BC74" i="22"/>
  <c r="BC85" i="22"/>
  <c r="BC82" i="22"/>
  <c r="AO84" i="22"/>
  <c r="AP84" i="22"/>
  <c r="BN70" i="22"/>
  <c r="BN72" i="22"/>
  <c r="BN78" i="22"/>
  <c r="BN76" i="22"/>
  <c r="BN84" i="22"/>
  <c r="BN71" i="22"/>
  <c r="BN79" i="22"/>
  <c r="BN81" i="22"/>
  <c r="BN77" i="22"/>
  <c r="BN83" i="22"/>
  <c r="BN73" i="22"/>
  <c r="BN82" i="22"/>
  <c r="BN66" i="22"/>
  <c r="BN68" i="22"/>
  <c r="BN75" i="22"/>
  <c r="BN80" i="22"/>
  <c r="BN67" i="22"/>
  <c r="BN69" i="22"/>
  <c r="BN85" i="22"/>
  <c r="BN74" i="22"/>
  <c r="G106" i="22"/>
  <c r="H106" i="22" s="1"/>
  <c r="BE64" i="21"/>
  <c r="BX69" i="21" s="1"/>
  <c r="BV69" i="21" s="1"/>
  <c r="L12" i="1"/>
  <c r="N12" i="1"/>
  <c r="AE12" i="1"/>
  <c r="AF12" i="1"/>
  <c r="BH68" i="1"/>
  <c r="BH69" i="1"/>
  <c r="BH70" i="1"/>
  <c r="BH71" i="1"/>
  <c r="BH72" i="1"/>
  <c r="BH73" i="1"/>
  <c r="BH74" i="1"/>
  <c r="BH75" i="1"/>
  <c r="BH76" i="1"/>
  <c r="BH77" i="1"/>
  <c r="BH78" i="1"/>
  <c r="BH79" i="1"/>
  <c r="BH80" i="1"/>
  <c r="BH81" i="1"/>
  <c r="BH82" i="1"/>
  <c r="BH83" i="1"/>
  <c r="BH84" i="1"/>
  <c r="BH85" i="1"/>
  <c r="BH87" i="1"/>
  <c r="BH86" i="1"/>
  <c r="AP76" i="1"/>
  <c r="AO76" i="1"/>
  <c r="AP75" i="1"/>
  <c r="AO75" i="1"/>
  <c r="BI82" i="1"/>
  <c r="BI83" i="1"/>
  <c r="BI84" i="1"/>
  <c r="BI85" i="1"/>
  <c r="BI86" i="1"/>
  <c r="BI87" i="1"/>
  <c r="BI73" i="1"/>
  <c r="BI80" i="1"/>
  <c r="BI71" i="1"/>
  <c r="BI74" i="1"/>
  <c r="BI75" i="1"/>
  <c r="BI77" i="1"/>
  <c r="BI78" i="1"/>
  <c r="BI79" i="1"/>
  <c r="BI69" i="1"/>
  <c r="BI70" i="1"/>
  <c r="BI81" i="1"/>
  <c r="BI68" i="1"/>
  <c r="BI72" i="1"/>
  <c r="BI76" i="1"/>
  <c r="AP80" i="1"/>
  <c r="AO80" i="1"/>
  <c r="BS66" i="1"/>
  <c r="BX85" i="1" s="1"/>
  <c r="BV85" i="1" s="1"/>
  <c r="AP71" i="1"/>
  <c r="AO71" i="1"/>
  <c r="AO79" i="21"/>
  <c r="AP79" i="21"/>
  <c r="BF70" i="22"/>
  <c r="BF71" i="22"/>
  <c r="BF78" i="22"/>
  <c r="BF73" i="22"/>
  <c r="BF76" i="22"/>
  <c r="BF84" i="22"/>
  <c r="BF79" i="22"/>
  <c r="BF72" i="22"/>
  <c r="BF80" i="22"/>
  <c r="BF67" i="22"/>
  <c r="BF81" i="22"/>
  <c r="BF66" i="22"/>
  <c r="BF68" i="22"/>
  <c r="BF69" i="22"/>
  <c r="BF74" i="22"/>
  <c r="BF83" i="22"/>
  <c r="BF82" i="22"/>
  <c r="BF75" i="22"/>
  <c r="BF77" i="22"/>
  <c r="BF85" i="22"/>
  <c r="P5" i="21"/>
  <c r="D20" i="11" s="1"/>
  <c r="AO75" i="21"/>
  <c r="AP75" i="21"/>
  <c r="BC73" i="21"/>
  <c r="BC78" i="21"/>
  <c r="BC66" i="21"/>
  <c r="BC72" i="21"/>
  <c r="BC69" i="21"/>
  <c r="BC71" i="21"/>
  <c r="BC84" i="21"/>
  <c r="BC68" i="21"/>
  <c r="BC74" i="21"/>
  <c r="BC83" i="21"/>
  <c r="BC67" i="21"/>
  <c r="BC85" i="21"/>
  <c r="BC76" i="21"/>
  <c r="BC79" i="21"/>
  <c r="BC80" i="21"/>
  <c r="BC81" i="21"/>
  <c r="BC75" i="21"/>
  <c r="BC82" i="21"/>
  <c r="BC77" i="21"/>
  <c r="BC70" i="21"/>
  <c r="BR64" i="22"/>
  <c r="BX82" i="22" s="1"/>
  <c r="BV82" i="22" s="1"/>
  <c r="BL66" i="21"/>
  <c r="BL74" i="21"/>
  <c r="BL79" i="21"/>
  <c r="BL72" i="21"/>
  <c r="BL73" i="21"/>
  <c r="BL70" i="21"/>
  <c r="BL83" i="21"/>
  <c r="BL67" i="21"/>
  <c r="BL84" i="21"/>
  <c r="BL85" i="21"/>
  <c r="BL75" i="21"/>
  <c r="BL71" i="21"/>
  <c r="BL68" i="21"/>
  <c r="BL69" i="21"/>
  <c r="BL77" i="21"/>
  <c r="BL78" i="21"/>
  <c r="BL82" i="21"/>
  <c r="BL81" i="21"/>
  <c r="BL80" i="21"/>
  <c r="BL76" i="21"/>
  <c r="BM69" i="22"/>
  <c r="BM73" i="22"/>
  <c r="BM77" i="22"/>
  <c r="BM85" i="22"/>
  <c r="BM83" i="22"/>
  <c r="BM72" i="22"/>
  <c r="BM78" i="22"/>
  <c r="BM74" i="22"/>
  <c r="BM82" i="22"/>
  <c r="BM66" i="22"/>
  <c r="BM68" i="22"/>
  <c r="BM75" i="22"/>
  <c r="BM80" i="22"/>
  <c r="BM71" i="22"/>
  <c r="BM76" i="22"/>
  <c r="BM79" i="22"/>
  <c r="BM84" i="22"/>
  <c r="BM70" i="22"/>
  <c r="BM81" i="22"/>
  <c r="BM67" i="22"/>
  <c r="BI71" i="21"/>
  <c r="BI67" i="21"/>
  <c r="BI72" i="21"/>
  <c r="BI73" i="21"/>
  <c r="BI74" i="21"/>
  <c r="BI84" i="21"/>
  <c r="BI68" i="21"/>
  <c r="BI69" i="21"/>
  <c r="BI70" i="21"/>
  <c r="BI76" i="21"/>
  <c r="BI77" i="21"/>
  <c r="BI66" i="21"/>
  <c r="BI78" i="21"/>
  <c r="BI79" i="21"/>
  <c r="BI80" i="21"/>
  <c r="BI81" i="21"/>
  <c r="BI82" i="21"/>
  <c r="BI83" i="21"/>
  <c r="BI85" i="21"/>
  <c r="BI75" i="21"/>
  <c r="D25" i="11"/>
  <c r="F17" i="11"/>
  <c r="C38" i="11"/>
  <c r="F13" i="11"/>
  <c r="F21" i="11" s="1"/>
  <c r="G104" i="22"/>
  <c r="H104" i="22" s="1"/>
  <c r="G103" i="22"/>
  <c r="D17" i="11"/>
  <c r="D38" i="11" s="1"/>
  <c r="AD88" i="1"/>
  <c r="AE88" i="1" s="1"/>
  <c r="AP69" i="1"/>
  <c r="AO69" i="1"/>
  <c r="AP70" i="1"/>
  <c r="AO70" i="1"/>
  <c r="BO66" i="1"/>
  <c r="BX81" i="1" s="1"/>
  <c r="BV81" i="1" s="1"/>
  <c r="AO68" i="21"/>
  <c r="AP68" i="21"/>
  <c r="AP79" i="1"/>
  <c r="AO79" i="1"/>
  <c r="BS64" i="22"/>
  <c r="BX83" i="22" s="1"/>
  <c r="BV83" i="22" s="1"/>
  <c r="D28" i="11"/>
  <c r="C37" i="11"/>
  <c r="D24" i="11"/>
  <c r="F12" i="11"/>
  <c r="F20" i="11" s="1"/>
  <c r="BQ64" i="21"/>
  <c r="BX81" i="21" s="1"/>
  <c r="BV81" i="21" s="1"/>
  <c r="BT64" i="22"/>
  <c r="BX84" i="22" s="1"/>
  <c r="BV84" i="22" s="1"/>
  <c r="I99" i="1"/>
  <c r="I31" i="1" s="1"/>
  <c r="BD68" i="22"/>
  <c r="BD73" i="22"/>
  <c r="BD76" i="22"/>
  <c r="BD84" i="22"/>
  <c r="BD82" i="22"/>
  <c r="BD72" i="22"/>
  <c r="BD77" i="22"/>
  <c r="BD85" i="22"/>
  <c r="BD67" i="22"/>
  <c r="BD79" i="22"/>
  <c r="BD81" i="22"/>
  <c r="BD80" i="22"/>
  <c r="BD71" i="22"/>
  <c r="BD78" i="22"/>
  <c r="BD70" i="22"/>
  <c r="BD75" i="22"/>
  <c r="BD66" i="22"/>
  <c r="BD74" i="22"/>
  <c r="BD83" i="22"/>
  <c r="BD69" i="22"/>
  <c r="BP64" i="22"/>
  <c r="BX80" i="22" s="1"/>
  <c r="BV80" i="22" s="1"/>
  <c r="BR64" i="21"/>
  <c r="BX82" i="21" s="1"/>
  <c r="BV82" i="21" s="1"/>
  <c r="BU69" i="22"/>
  <c r="BU77" i="22"/>
  <c r="BU85" i="22"/>
  <c r="BU66" i="22"/>
  <c r="BU67" i="22"/>
  <c r="BU68" i="22"/>
  <c r="BU83" i="22"/>
  <c r="BU73" i="22"/>
  <c r="BU78" i="22"/>
  <c r="BU82" i="22"/>
  <c r="BU70" i="22"/>
  <c r="BU76" i="22"/>
  <c r="BU79" i="22"/>
  <c r="BU81" i="22"/>
  <c r="BU84" i="22"/>
  <c r="BU71" i="22"/>
  <c r="BU80" i="22"/>
  <c r="BU74" i="22"/>
  <c r="BU75" i="22"/>
  <c r="BU72" i="22"/>
  <c r="AO77" i="22"/>
  <c r="AP77" i="22"/>
  <c r="O99" i="1"/>
  <c r="I60" i="1" s="1"/>
  <c r="BU64" i="21"/>
  <c r="BX85" i="21" s="1"/>
  <c r="BV85" i="21" s="1"/>
  <c r="F105" i="21"/>
  <c r="G105" i="21" s="1"/>
  <c r="F103" i="21"/>
  <c r="F110" i="21"/>
  <c r="G110" i="21" s="1"/>
  <c r="F107" i="21"/>
  <c r="G107" i="21" s="1"/>
  <c r="F106" i="21"/>
  <c r="G106" i="21" s="1"/>
  <c r="F111" i="21"/>
  <c r="G111" i="21" s="1"/>
  <c r="F109" i="21"/>
  <c r="F113" i="21"/>
  <c r="G113" i="21" s="1"/>
  <c r="H113" i="21" s="1"/>
  <c r="I113" i="21" s="1"/>
  <c r="F104" i="21"/>
  <c r="G104" i="21" s="1"/>
  <c r="E25" i="11" l="1" a="1"/>
  <c r="E25" i="11" s="1"/>
  <c r="F25" i="11"/>
  <c r="BC64" i="22"/>
  <c r="BX67" i="22" s="1"/>
  <c r="BV67" i="22" s="1"/>
  <c r="P5" i="22"/>
  <c r="D21" i="11" s="1"/>
  <c r="E21" i="11" s="1" a="1"/>
  <c r="E21" i="11" s="1"/>
  <c r="BP64" i="21"/>
  <c r="BX80" i="21" s="1"/>
  <c r="BV80" i="21" s="1"/>
  <c r="F112" i="21"/>
  <c r="G109" i="21"/>
  <c r="G112" i="21" s="1"/>
  <c r="H109" i="21" s="1"/>
  <c r="I112" i="21" s="1"/>
  <c r="I63" i="1"/>
  <c r="L60" i="1"/>
  <c r="BI64" i="21"/>
  <c r="BX73" i="21" s="1"/>
  <c r="BV73" i="21" s="1"/>
  <c r="BN64" i="22"/>
  <c r="BX78" i="22" s="1"/>
  <c r="BV78" i="22" s="1"/>
  <c r="BI64" i="22"/>
  <c r="BX73" i="22" s="1"/>
  <c r="BV73" i="22" s="1"/>
  <c r="BQ64" i="22"/>
  <c r="BX81" i="22" s="1"/>
  <c r="BV81" i="22" s="1"/>
  <c r="BN66" i="1"/>
  <c r="BX80" i="1" s="1"/>
  <c r="BV80" i="1" s="1"/>
  <c r="BJ64" i="21"/>
  <c r="BX74" i="21" s="1"/>
  <c r="BV74" i="21" s="1"/>
  <c r="F108" i="21"/>
  <c r="G103" i="21"/>
  <c r="G108" i="21" s="1"/>
  <c r="L31" i="1"/>
  <c r="M31" i="1"/>
  <c r="O36" i="1"/>
  <c r="BI66" i="1"/>
  <c r="BX75" i="1" s="1"/>
  <c r="BV75" i="1" s="1"/>
  <c r="BG66" i="1"/>
  <c r="BX73" i="1" s="1"/>
  <c r="BV73" i="1" s="1"/>
  <c r="BT64" i="21"/>
  <c r="BX84" i="21" s="1"/>
  <c r="BV84" i="21" s="1"/>
  <c r="BF66" i="1"/>
  <c r="BX72" i="1" s="1"/>
  <c r="BV72" i="1" s="1"/>
  <c r="BM64" i="22"/>
  <c r="BX77" i="22" s="1"/>
  <c r="BV77" i="22" s="1"/>
  <c r="BD64" i="21"/>
  <c r="BX68" i="21" s="1"/>
  <c r="BV68" i="21" s="1"/>
  <c r="BH66" i="1"/>
  <c r="BX74" i="1" s="1"/>
  <c r="BV74" i="1" s="1"/>
  <c r="F24" i="11"/>
  <c r="E24" i="11" a="1"/>
  <c r="E24" i="11" s="1"/>
  <c r="G105" i="22"/>
  <c r="H103" i="22"/>
  <c r="G114" i="1"/>
  <c r="H114" i="1" s="1"/>
  <c r="G116" i="1"/>
  <c r="H116" i="1" s="1"/>
  <c r="G126" i="1"/>
  <c r="H126" i="1" s="1"/>
  <c r="G128" i="1"/>
  <c r="G129" i="1"/>
  <c r="H129" i="1" s="1"/>
  <c r="G115" i="1"/>
  <c r="H115" i="1" s="1"/>
  <c r="G127" i="1"/>
  <c r="H127" i="1" s="1"/>
  <c r="G117" i="1"/>
  <c r="H117" i="1" s="1"/>
  <c r="BC64" i="21"/>
  <c r="BX67" i="21" s="1"/>
  <c r="BV67" i="21" s="1"/>
  <c r="F139" i="1"/>
  <c r="F128" i="1"/>
  <c r="BU64" i="22"/>
  <c r="BX85" i="22" s="1"/>
  <c r="BV85" i="22" s="1"/>
  <c r="D29" i="11"/>
  <c r="BL64" i="21"/>
  <c r="BX76" i="21" s="1"/>
  <c r="BV76" i="21" s="1"/>
  <c r="E20" i="11" a="1"/>
  <c r="E20" i="11" s="1"/>
  <c r="BM66" i="1"/>
  <c r="BX79" i="1" s="1"/>
  <c r="BV79" i="1" s="1"/>
  <c r="BK66" i="1"/>
  <c r="BX77" i="1" s="1"/>
  <c r="BV77" i="1" s="1"/>
  <c r="BB64" i="21"/>
  <c r="BX66" i="21" s="1"/>
  <c r="BV66" i="21" s="1"/>
  <c r="BE66" i="1"/>
  <c r="BX71" i="1" s="1"/>
  <c r="BV71" i="1" s="1"/>
  <c r="BO64" i="21"/>
  <c r="BX79" i="21" s="1"/>
  <c r="BV79" i="21" s="1"/>
  <c r="BD64" i="22"/>
  <c r="BX68" i="22" s="1"/>
  <c r="BV68" i="22" s="1"/>
  <c r="F16" i="11"/>
  <c r="BF64" i="22"/>
  <c r="BX70" i="22" s="1"/>
  <c r="BV70" i="22" s="1"/>
  <c r="P1" i="1"/>
  <c r="BK64" i="21"/>
  <c r="BX75" i="21" s="1"/>
  <c r="BV75" i="21" s="1"/>
  <c r="M88" i="1"/>
  <c r="M89" i="1" s="1"/>
  <c r="L89" i="1"/>
  <c r="P4" i="1" s="1"/>
  <c r="H128" i="1" l="1"/>
  <c r="N31" i="1"/>
  <c r="N32" i="1" s="1"/>
  <c r="P2" i="1" s="1"/>
  <c r="AG31" i="1"/>
  <c r="F138" i="1"/>
  <c r="F135" i="1"/>
  <c r="I135" i="1" s="1"/>
  <c r="J135" i="1" s="1"/>
  <c r="E108" i="1" s="1"/>
  <c r="J108" i="1" s="1"/>
  <c r="E114" i="21"/>
  <c r="F114" i="21"/>
  <c r="F115" i="21"/>
  <c r="G115" i="21"/>
  <c r="G116" i="21"/>
  <c r="F116" i="21"/>
  <c r="F117" i="21" s="1"/>
  <c r="H103" i="21"/>
  <c r="G135" i="1"/>
  <c r="L61" i="1"/>
  <c r="H105" i="22"/>
  <c r="I103" i="22"/>
  <c r="L32" i="1"/>
  <c r="D11" i="11" s="1"/>
  <c r="P5" i="1" l="1"/>
  <c r="D19" i="11" s="1"/>
  <c r="H135" i="1"/>
  <c r="P3" i="1"/>
  <c r="D15" i="11" s="1"/>
  <c r="D36" i="11" s="1"/>
  <c r="G138" i="1"/>
  <c r="G139" i="1"/>
  <c r="H139" i="1" s="1"/>
  <c r="J105" i="22"/>
  <c r="G108" i="22"/>
  <c r="G109" i="22"/>
  <c r="G107" i="22"/>
  <c r="I106" i="22" s="1"/>
  <c r="J106" i="22" s="1"/>
  <c r="E97" i="21" a="1"/>
  <c r="E97" i="21" s="1"/>
  <c r="I108" i="21"/>
  <c r="D23" i="11"/>
  <c r="C36" i="11"/>
  <c r="F11" i="11"/>
  <c r="F19" i="11" s="1"/>
  <c r="J2" i="1" a="1"/>
  <c r="J2" i="1" s="1"/>
  <c r="F15" i="11" l="1"/>
  <c r="D27" i="11" s="1"/>
  <c r="D5" i="11" s="1"/>
  <c r="E97" i="22" a="1"/>
  <c r="E97" i="22" s="1"/>
  <c r="J97" i="22" s="1"/>
  <c r="J2" i="22" s="1" a="1"/>
  <c r="J2" i="22" s="1"/>
  <c r="E23" i="11" a="1"/>
  <c r="E23" i="11" s="1"/>
  <c r="F23" i="11"/>
  <c r="H138" i="1"/>
  <c r="I138" i="1" s="1"/>
  <c r="J138" i="1" s="1"/>
  <c r="J97" i="21"/>
  <c r="J2" i="21" s="1" a="1"/>
  <c r="J2" i="21" s="1"/>
  <c r="E19" i="11" a="1"/>
  <c r="E19" i="11" s="1"/>
  <c r="F140" i="1" l="1"/>
  <c r="I140" i="1" s="1"/>
  <c r="J140" i="1" s="1"/>
  <c r="I142" i="1"/>
  <c r="I139" i="1" s="1"/>
  <c r="J139" i="1" s="1"/>
  <c r="E109" i="1" s="1"/>
  <c r="J109" i="1" s="1"/>
  <c r="D7" i="11" s="1"/>
  <c r="D9" i="1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<sst xmlns="http://schemas.openxmlformats.org/spreadsheetml/2006/main" count="3172" uniqueCount="1052">
  <si>
    <t>created by Sam Arthur @ FPCR</t>
  </si>
  <si>
    <t xml:space="preserve">Small Sites Metric 
(The Statutory Biodiversity Metric) </t>
  </si>
  <si>
    <t>Release Date:</t>
  </si>
  <si>
    <t>February 2024</t>
  </si>
  <si>
    <t>Cell style conventions</t>
  </si>
  <si>
    <t>Enter data</t>
  </si>
  <si>
    <t>Automated equation</t>
  </si>
  <si>
    <t>Result</t>
  </si>
  <si>
    <t>Title cell</t>
  </si>
  <si>
    <t>Title cell alt colour</t>
  </si>
  <si>
    <t>▲</t>
  </si>
  <si>
    <t>Error</t>
  </si>
  <si>
    <t>⚠</t>
  </si>
  <si>
    <t>Attention required</t>
  </si>
  <si>
    <r>
      <rPr>
        <b/>
        <sz val="11"/>
        <color theme="1"/>
        <rFont val="Calibri"/>
        <family val="2"/>
        <scheme val="minor"/>
      </rPr>
      <t xml:space="preserve">Technical Requirements - Excel Versions: </t>
    </r>
    <r>
      <rPr>
        <sz val="11"/>
        <color theme="1"/>
        <rFont val="Calibri"/>
        <family val="2"/>
        <scheme val="minor"/>
      </rPr>
      <t>2010, 2013, 2016, 2019, Office 365, Excel for Android</t>
    </r>
  </si>
  <si>
    <t xml:space="preserve">Use of this cell is not required </t>
  </si>
  <si>
    <t>Sheet Name</t>
  </si>
  <si>
    <t>Site Details</t>
  </si>
  <si>
    <t>1. Planning authority:</t>
  </si>
  <si>
    <t>2. Site name:</t>
  </si>
  <si>
    <t>3. Applicant:</t>
  </si>
  <si>
    <t>4. Planning application type:</t>
  </si>
  <si>
    <t>5. Planning application reference:</t>
  </si>
  <si>
    <t>6. Metric completed by (name &amp; job title):</t>
  </si>
  <si>
    <t>7. Date of metric completion:</t>
  </si>
  <si>
    <t>8. Revision number:</t>
  </si>
  <si>
    <t>9. Masterplan document title / drawing number:</t>
  </si>
  <si>
    <t>Net Gain Targets</t>
  </si>
  <si>
    <t>10. Targeted % increase in Units</t>
  </si>
  <si>
    <t>10a. Habitat</t>
  </si>
  <si>
    <t>10b. Hedgerow</t>
  </si>
  <si>
    <t>10c. Watercourses</t>
  </si>
  <si>
    <t>11. Targeted increase in Units if baseline value is zero - agreed with local planning authority</t>
  </si>
  <si>
    <t>11a. Habitat units</t>
  </si>
  <si>
    <t>11b. Hedgerow units</t>
  </si>
  <si>
    <t>11c. Watercourse units</t>
  </si>
  <si>
    <t>For planning authority use only</t>
  </si>
  <si>
    <t>12. Planning authority reviewer:</t>
  </si>
  <si>
    <t>13. Date of planning authority review:</t>
  </si>
  <si>
    <t>Site Name:</t>
  </si>
  <si>
    <t>Desktop Assessment</t>
  </si>
  <si>
    <t>Development</t>
  </si>
  <si>
    <t>14. Select the type of proposed development.
If Other provide details at Q.25 below</t>
  </si>
  <si>
    <r>
      <rPr>
        <b/>
        <sz val="14"/>
        <color theme="0"/>
        <rFont val="Calibri"/>
        <family val="2"/>
      </rPr>
      <t>15. Site area (m</t>
    </r>
    <r>
      <rPr>
        <b/>
        <vertAlign val="superscript"/>
        <sz val="14"/>
        <color theme="0"/>
        <rFont val="Calibri"/>
        <family val="2"/>
        <scheme val="minor"/>
      </rPr>
      <t>2</t>
    </r>
    <r>
      <rPr>
        <b/>
        <sz val="14"/>
        <color theme="0"/>
        <rFont val="Calibri"/>
        <family val="2"/>
        <scheme val="minor"/>
      </rPr>
      <t>)</t>
    </r>
  </si>
  <si>
    <t>Designated sites and priority habitats</t>
  </si>
  <si>
    <t>18. Any designated sites on or within 500m of the site?</t>
  </si>
  <si>
    <t>19. Any priority habitats on or within 500m of the site?</t>
  </si>
  <si>
    <t>20. List the designated sites and/or priority habitats</t>
  </si>
  <si>
    <t>21. Information sources used for assessment of designated sites and priority habitats
(See guidance)</t>
  </si>
  <si>
    <t>The following authoritative government sources were consulted: Country Parks (England) (https://naturalengland-defra.opendata.arcgis.com/maps/a11befa8e6dc4227a7082d81bb1ddbdb), Local Nature Reserves (England) (https://naturalengland-defra.opendata.arcgis.com/maps/b1d690ac6dd54c15bdd2d341b686ecd7), Marine Conservation Zones (England) (https://naturalengland-defra.opendata.arcgis.com/maps/82bf811005484412a75c438738d51f82), National Nature Reserves (England) (https://naturalengland-defra.opendata.arcgis.com/maps/ab7bfd86f5b347df8d47fc9bfab80caf), Potential Special Protection Areas (England) (https://naturalengland-defra.opendata.arcgis.com/maps/6c8aa0f765904a1ca95779b534852fa2), Proposed Ramsar (England) (https://naturalengland-defra.opendata.arcgis.com/maps/d1591e5c791a4371b38b7653109e0c2c), Ramsar (England) (https://naturalengland-defra.opendata.arcgis.com/maps/13b5f06edc88471db479b49b4ac04a43), Special Areas of Conservation (England) (https://naturalengland-defra.opendata.arcgis.com/maps/e4142658906c498fa37f0a20d3fdfcff), Special Protection Areas (England) (https://naturalengland-defra.opendata.arcgis.com/maps/e6ee43be14554663b0a80bb42aa4e671), Sites of Special Scientific Interest (England) (https://naturalengland-defra.opendata.arcgis.com/maps/f10cbb4425154bfda349ccf493487a80), Sites of Special Scientific Interest Units (England) (https://naturalengland-defra.opendata.arcgis.com/maps/03fd7a2f8e4e4346bf41ce7879153949), Areas of Outstanding Natural Beauty (England) (https://naturalengland-defra.opendata.arcgis.com/maps/6f2ad07d91304ad79cdecd52489d5046), Limestone Pavement Orders (England) (https://naturalengland-defra.opendata.arcgis.com/maps/509f8e3a23684412b104d1f0660b3ae1), Biosphere Reserves (England) (https://naturalengland-defra.opendata.arcgis.com/maps/8c0a5ddba868486cb14ddc9c6a6df37e), Nitrate Sensitive Areas (England) (https://naturalengland-defra.opendata.arcgis.com/maps/e7211a83a6ab4a08975cf07923251063), Heritage Coasts (England) (https://naturalengland-defra.opendata.arcgis.com/maps/d9557885721d483dac138bdd0ab08c3e), National Parks (England) (https://naturalengland-defra.opendata.arcgis.com/maps/d333c7529754444894e2d7f5044d1bbf), Land Management Initiatives (England) (https://naturalengland-defra.opendata.arcgis.com/maps/00b5ddd1567a4a9caed971307d72c0b7), Priority Habitat Inventory (Central) (England) (https://naturalengland-defra.opendata.arcgis.com/maps/caa06b31220546ceaae6f088b1a6d099), Priority Habitat Inventory (South) (England) (https://naturalengland-defra.opendata.arcgis.com/maps/e8eac9a6297f4544896b667b204ed31a), Priority Habitat Inventory (North) (England) (https://naturalengland-defra.opendata.arcgis.com/maps/7ff2ea905ad343f98dfd09a723938784), Priority Habitat - Rivers (England) (https://naturalengland-defra.opendata.arcgis.com/maps/7e5dd3c72f424fd5bc6f013d18dd770c), Priority River Habitat - Headwater Areas (England) (https://naturalengland-defra.opendata.arcgis.com/maps/8e3f7118b7484c58a9d3f92700cfa39a), Surveyed Priority Ponds (England) (https://naturalengland-defra.opendata.arcgis.com/maps/c0396588c6e846ba808785ba8d36e51f).</t>
  </si>
  <si>
    <t>Site walkover</t>
  </si>
  <si>
    <t>22. Site walkover completed?</t>
  </si>
  <si>
    <t>23. Date of site walkover - DD/MM/YY</t>
  </si>
  <si>
    <t>24. Who completed the walkover? 
(Name and job title)</t>
  </si>
  <si>
    <t>Additional details</t>
  </si>
  <si>
    <t>25. Any additional information or notes</t>
  </si>
  <si>
    <t>Supporting Information</t>
  </si>
  <si>
    <t>Baseline Habitat Photos</t>
  </si>
  <si>
    <t>Insert photographs to support assumptions made in the metric</t>
  </si>
  <si>
    <t>Ref</t>
  </si>
  <si>
    <t>Habitat type</t>
  </si>
  <si>
    <t>Photo 1</t>
  </si>
  <si>
    <t>Photo 2</t>
  </si>
  <si>
    <t>Date taken</t>
  </si>
  <si>
    <t>04/07/2024</t>
  </si>
  <si>
    <t>Retained Units</t>
  </si>
  <si>
    <t>Data beyond this column is automated</t>
  </si>
  <si>
    <t>Site Name</t>
  </si>
  <si>
    <r>
      <rPr>
        <b/>
        <u/>
        <sz val="14"/>
        <color theme="1"/>
        <rFont val="Calibri"/>
        <family val="2"/>
        <scheme val="minor"/>
      </rPr>
      <t>Instructions:</t>
    </r>
    <r>
      <rPr>
        <sz val="11"/>
        <color theme="1"/>
        <rFont val="Calibri"/>
        <family val="2"/>
        <scheme val="minor"/>
      </rPr>
      <t xml:space="preserve">
1. Enter data into 1a. Baseline habitats table 
2. Enter data on habitats to be created into 1b. Habitats to be created
3. Enter data on habitats to be enhanced into 1c. Habitats to be enhanced 
4. Enter data on individual trees into 1d. Tree area calculator
</t>
    </r>
  </si>
  <si>
    <t>Lost Units</t>
  </si>
  <si>
    <t>5. Area Habitats</t>
  </si>
  <si>
    <t>Created Units</t>
  </si>
  <si>
    <t>Enhancement Units</t>
  </si>
  <si>
    <t>Net Change</t>
  </si>
  <si>
    <t>1a. Baseline habitats</t>
  </si>
  <si>
    <t>Habitat</t>
  </si>
  <si>
    <t>C. Strategic significance</t>
  </si>
  <si>
    <r>
      <rPr>
        <b/>
        <sz val="12"/>
        <color theme="0"/>
        <rFont val="Calibri"/>
        <family val="2"/>
      </rPr>
      <t>Areas (m</t>
    </r>
    <r>
      <rPr>
        <b/>
        <vertAlign val="superscript"/>
        <sz val="12"/>
        <color theme="0"/>
        <rFont val="Calibri"/>
        <family val="2"/>
        <scheme val="minor"/>
      </rPr>
      <t>2</t>
    </r>
    <r>
      <rPr>
        <b/>
        <sz val="12"/>
        <color theme="0"/>
        <rFont val="Calibri"/>
        <family val="2"/>
        <scheme val="minor"/>
      </rPr>
      <t>)</t>
    </r>
  </si>
  <si>
    <t>Baseline results</t>
  </si>
  <si>
    <t>Comments</t>
  </si>
  <si>
    <t>Habitat distinctiveness</t>
  </si>
  <si>
    <t>Habitat condition</t>
  </si>
  <si>
    <t>Strategic significance</t>
  </si>
  <si>
    <t>Ecological baseline</t>
  </si>
  <si>
    <t>Suggested action to address habitat losses</t>
  </si>
  <si>
    <t>Enhancement rules</t>
  </si>
  <si>
    <t>A. Broad Habitat</t>
  </si>
  <si>
    <t xml:space="preserve"> B. Habitat type</t>
  </si>
  <si>
    <t xml:space="preserve">D. Total Area </t>
  </si>
  <si>
    <t>E. Area retained</t>
  </si>
  <si>
    <t>F. Area enhanced</t>
  </si>
  <si>
    <t>Total habitat units onsite</t>
  </si>
  <si>
    <t>Area Lost</t>
  </si>
  <si>
    <t>Units lost</t>
  </si>
  <si>
    <t>User comments</t>
  </si>
  <si>
    <t>LPA comments</t>
  </si>
  <si>
    <t>Distinctiveness</t>
  </si>
  <si>
    <t>Score</t>
  </si>
  <si>
    <t xml:space="preserve">Condition </t>
  </si>
  <si>
    <t>Strategic significance multiplier</t>
  </si>
  <si>
    <t>Baseline units retained</t>
  </si>
  <si>
    <t>Baseline units to be enhanced</t>
  </si>
  <si>
    <t>Area lost</t>
  </si>
  <si>
    <t>Trees</t>
  </si>
  <si>
    <t>Individual trees</t>
  </si>
  <si>
    <t>Urban/rural tree</t>
  </si>
  <si>
    <t>Formally identified in local strategy</t>
  </si>
  <si>
    <t>Totals (areas excl trees, green walls and intertidal hard structures)</t>
  </si>
  <si>
    <t>Error Check 1</t>
  </si>
  <si>
    <t>Error Check 2</t>
  </si>
  <si>
    <t>Error Check 3</t>
  </si>
  <si>
    <t>1b. Habitats to be created</t>
  </si>
  <si>
    <t>Condition Assessment</t>
  </si>
  <si>
    <t>D. Strategic significance</t>
  </si>
  <si>
    <r>
      <rPr>
        <b/>
        <sz val="12"/>
        <color theme="0"/>
        <rFont val="Calibri"/>
        <family val="2"/>
      </rPr>
      <t>E. Total Area  (m</t>
    </r>
    <r>
      <rPr>
        <b/>
        <vertAlign val="superscript"/>
        <sz val="12"/>
        <color theme="0"/>
        <rFont val="Calibri"/>
        <family val="2"/>
        <scheme val="minor"/>
      </rPr>
      <t>2</t>
    </r>
    <r>
      <rPr>
        <b/>
        <sz val="12"/>
        <color theme="0"/>
        <rFont val="Calibri"/>
        <family val="2"/>
        <scheme val="minor"/>
      </rPr>
      <t>)</t>
    </r>
  </si>
  <si>
    <t>Habitat units created onsite</t>
  </si>
  <si>
    <t>Temporal multiplier</t>
  </si>
  <si>
    <t>Difficulty multipliers</t>
  </si>
  <si>
    <t>B. Habitat type</t>
  </si>
  <si>
    <t>Acceptable condition options</t>
  </si>
  <si>
    <t>C. Targeted condition</t>
  </si>
  <si>
    <t>Time to target condition/years</t>
  </si>
  <si>
    <t>Time to target multiplier</t>
  </si>
  <si>
    <t>Difficulty of creation category</t>
  </si>
  <si>
    <t>Difficulty of creation multiplier</t>
  </si>
  <si>
    <t>Moderate</t>
  </si>
  <si>
    <t>Area/compensation not in local strategy/ no local strategy</t>
  </si>
  <si>
    <t>Error Check 4</t>
  </si>
  <si>
    <t>Divider</t>
  </si>
  <si>
    <t>1c. Habitats to be enhanced</t>
  </si>
  <si>
    <t>,</t>
  </si>
  <si>
    <t>Baseline ref</t>
  </si>
  <si>
    <t>Existing Habitat Type</t>
  </si>
  <si>
    <t>Enhanced Habitat type</t>
  </si>
  <si>
    <t>B. Strategic significance</t>
  </si>
  <si>
    <t>Area Enhanced</t>
  </si>
  <si>
    <t>Enhanced Condition</t>
  </si>
  <si>
    <t>Total Units</t>
  </si>
  <si>
    <t>Net Improvement</t>
  </si>
  <si>
    <t>Baseline Values</t>
  </si>
  <si>
    <t xml:space="preserve"> Distinctiveness change acceptable?</t>
  </si>
  <si>
    <t>Enhanced multipliers</t>
  </si>
  <si>
    <t>Condition enhancement - Time to target condition/years</t>
  </si>
  <si>
    <t>Number of options</t>
  </si>
  <si>
    <t>Broad habitat type</t>
  </si>
  <si>
    <t>Existing habitat type</t>
  </si>
  <si>
    <t>Enhancement Type</t>
  </si>
  <si>
    <t>A. Enhanced habitat type</t>
  </si>
  <si>
    <t>Area enhanced</t>
  </si>
  <si>
    <t>Baseline distinctiveness band</t>
  </si>
  <si>
    <t>Baseline distinctiveness score</t>
  </si>
  <si>
    <t>Baseline condition category</t>
  </si>
  <si>
    <t>Baseline condition score</t>
  </si>
  <si>
    <t>Baseline strategic significance category</t>
  </si>
  <si>
    <t>Baseline strategic significance score</t>
  </si>
  <si>
    <t>Baseline value of area enhanced</t>
  </si>
  <si>
    <t>Condition enhancement - Time to target multiplier</t>
  </si>
  <si>
    <t>Distinctiveness enhancement - Time to target condition/years</t>
  </si>
  <si>
    <t>Distinctiveness enhancement - Time to target multiplier</t>
  </si>
  <si>
    <t>Difficulty of enhancement category</t>
  </si>
  <si>
    <t>Difficulty of enhancement multiplier</t>
  </si>
  <si>
    <t>Acceptable habitat types</t>
  </si>
  <si>
    <t>Enhancement type</t>
  </si>
  <si>
    <t>Enhancement broad habitat type</t>
  </si>
  <si>
    <t>Option number</t>
  </si>
  <si>
    <t>List range</t>
  </si>
  <si>
    <t>Column ref</t>
  </si>
  <si>
    <t>list  length</t>
  </si>
  <si>
    <t>BB</t>
  </si>
  <si>
    <t>BC</t>
  </si>
  <si>
    <t>BD</t>
  </si>
  <si>
    <t>BE</t>
  </si>
  <si>
    <t>BF</t>
  </si>
  <si>
    <t>BG</t>
  </si>
  <si>
    <t>BH</t>
  </si>
  <si>
    <t>BI</t>
  </si>
  <si>
    <t>BJ</t>
  </si>
  <si>
    <t>BK</t>
  </si>
  <si>
    <t>BL</t>
  </si>
  <si>
    <t>BM</t>
  </si>
  <si>
    <t>BN</t>
  </si>
  <si>
    <t>BO</t>
  </si>
  <si>
    <t>BP</t>
  </si>
  <si>
    <t>BQ</t>
  </si>
  <si>
    <t>BR</t>
  </si>
  <si>
    <t>BS</t>
  </si>
  <si>
    <t>BT</t>
  </si>
  <si>
    <t>BU</t>
  </si>
  <si>
    <t>1d.  - Tree area calculator</t>
  </si>
  <si>
    <t>Tree size
(Diameter at breast height)</t>
  </si>
  <si>
    <t>A. Total number of trees pre development</t>
  </si>
  <si>
    <t>B. Number of trees retained (but not enhanced)</t>
  </si>
  <si>
    <t>C. Number of new trees planted post development</t>
  </si>
  <si>
    <t>Areas</t>
  </si>
  <si>
    <t>Area pre development</t>
  </si>
  <si>
    <t>Area retained</t>
  </si>
  <si>
    <t>Area of new trees planted post development</t>
  </si>
  <si>
    <t>Small -DBH ≤ 30cm</t>
  </si>
  <si>
    <t>Medium - DBH &gt; 30 to ≤ 60cm</t>
  </si>
  <si>
    <t>Large - DBH &gt; 60 to ≤ 90cm</t>
  </si>
  <si>
    <t>Very Large - DBH &gt; 90cm</t>
  </si>
  <si>
    <t>Total</t>
  </si>
  <si>
    <t>Data beyond this row is automated</t>
  </si>
  <si>
    <t>1e . Trading Summary</t>
  </si>
  <si>
    <t>Broad Habitat Type - Medium Distinctiveness Habitats</t>
  </si>
  <si>
    <t xml:space="preserve">Medium and Low Distinctiveness Band </t>
  </si>
  <si>
    <t>1f . Habitat trading assessment</t>
  </si>
  <si>
    <t>Broad habitat types</t>
  </si>
  <si>
    <t>Distinctiveness band</t>
  </si>
  <si>
    <t>Baseline units</t>
  </si>
  <si>
    <t>Onsite provision</t>
  </si>
  <si>
    <t>Net change</t>
  </si>
  <si>
    <t>Trading satisfied?</t>
  </si>
  <si>
    <t>Cropland</t>
  </si>
  <si>
    <t>Low</t>
  </si>
  <si>
    <t>-</t>
  </si>
  <si>
    <t>Medium</t>
  </si>
  <si>
    <t>Grassland</t>
  </si>
  <si>
    <t>Heathland and shrub</t>
  </si>
  <si>
    <t>Intertidal hard structures</t>
  </si>
  <si>
    <t>Intertidal sediment</t>
  </si>
  <si>
    <t>Lakes</t>
  </si>
  <si>
    <t>Sparsely vegetated land</t>
  </si>
  <si>
    <t>Urban</t>
  </si>
  <si>
    <t>Woodland and forest</t>
  </si>
  <si>
    <t>Coastal saltmarsh</t>
  </si>
  <si>
    <t>Medium distinctiveness</t>
  </si>
  <si>
    <t>Low distinctiveness</t>
  </si>
  <si>
    <t>Surplus area habitat biodiversity units after offsetting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</si>
  <si>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</si>
  <si>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6. Hedges &amp; Lines of Trees</t>
  </si>
  <si>
    <t>Length (m)</t>
  </si>
  <si>
    <t>D. Total Length</t>
  </si>
  <si>
    <t>E. Length retained</t>
  </si>
  <si>
    <t>F. Length enhanced</t>
  </si>
  <si>
    <t>Total  units onsite</t>
  </si>
  <si>
    <t>Length Lost</t>
  </si>
  <si>
    <t>Hedgerows and Lines of trees</t>
  </si>
  <si>
    <t>Totals</t>
  </si>
  <si>
    <t>E. Total Length created (m)</t>
  </si>
  <si>
    <t>Units created on-site</t>
  </si>
  <si>
    <t>Length Enhanced (m)</t>
  </si>
  <si>
    <t>option number</t>
  </si>
  <si>
    <t>Distinctiveness and Habitat Type</t>
  </si>
  <si>
    <t>Species-rich native hedgerow</t>
  </si>
  <si>
    <t>Native hedgerow - associated with bank or ditch</t>
  </si>
  <si>
    <t>Native hedgerow with trees</t>
  </si>
  <si>
    <t>Ecologically valuable line of trees</t>
  </si>
  <si>
    <t>Ecologically valuable line of trees - associated with bank or ditch</t>
  </si>
  <si>
    <t>Sum</t>
  </si>
  <si>
    <t>Native hedgerow</t>
  </si>
  <si>
    <t>Line of trees</t>
  </si>
  <si>
    <t>Line of trees - associated with bank or ditch</t>
  </si>
  <si>
    <t>Very low</t>
  </si>
  <si>
    <t>Non-native and ornamental hedgerow</t>
  </si>
  <si>
    <t>Surplus medium distinctiveness units to offset low and very low distinctiveness units</t>
  </si>
  <si>
    <t>Cumulative surplus of units after offsetting low distinctiveness units</t>
  </si>
  <si>
    <t>Cumulative surplus of units after offsetting very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</si>
  <si>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</si>
  <si>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7. Watercourses</t>
  </si>
  <si>
    <t>Length M</t>
  </si>
  <si>
    <t>Baseline watercourse and riparian encroachment</t>
  </si>
  <si>
    <t>Baseline units pre-encroachment</t>
  </si>
  <si>
    <t>Watercourses</t>
  </si>
  <si>
    <t>Units created onsite</t>
  </si>
  <si>
    <t>Watercourse and riparian encroachment</t>
  </si>
  <si>
    <t xml:space="preserve"> Enhanced Habitat type</t>
  </si>
  <si>
    <t>Length Enhanced</t>
  </si>
  <si>
    <t>Enhanced watercourse and riparian encroachment</t>
  </si>
  <si>
    <t>Habitat Type</t>
  </si>
  <si>
    <t>Canals</t>
  </si>
  <si>
    <t>Ditches</t>
  </si>
  <si>
    <t>Culvert</t>
  </si>
  <si>
    <t>Surplus medium distinctiveness units to offset low distinctiveness units</t>
  </si>
  <si>
    <t>Surplus watercourse biodiversity units</t>
  </si>
  <si>
    <t>Headline Results</t>
  </si>
  <si>
    <t>Headline</t>
  </si>
  <si>
    <t>Trading Rules</t>
  </si>
  <si>
    <t>Next steps</t>
  </si>
  <si>
    <t>% unit change required</t>
  </si>
  <si>
    <t>Baseline Units</t>
  </si>
  <si>
    <t>Habitat units</t>
  </si>
  <si>
    <t>Hedgerow units</t>
  </si>
  <si>
    <t>Watercourse units</t>
  </si>
  <si>
    <t>Target units required (baseline plus extra units needed)</t>
  </si>
  <si>
    <t>Post-development Units</t>
  </si>
  <si>
    <t>Total net unit change</t>
  </si>
  <si>
    <t>Total net % change</t>
  </si>
  <si>
    <t>Habitats units required to meet target</t>
  </si>
  <si>
    <t>Hedgerow units required to meet target</t>
  </si>
  <si>
    <t>Watercourse units required to meet target</t>
  </si>
  <si>
    <t>Chart 1 - Unit change by habitat group</t>
  </si>
  <si>
    <t>Baseline</t>
  </si>
  <si>
    <t>Provision</t>
  </si>
  <si>
    <t>River units</t>
  </si>
  <si>
    <t>* based on government cost per unit of:</t>
  </si>
  <si>
    <t>9. All Habitats + Multipliers - (general technical information for reference purposes only)</t>
  </si>
  <si>
    <t>Risk Multipliers</t>
  </si>
  <si>
    <t>Location Multipliers</t>
  </si>
  <si>
    <t>Broad Habitat Group</t>
  </si>
  <si>
    <t>Nearest Ukhab Habitat</t>
  </si>
  <si>
    <t>Definitive Ukhab /  Unis Code</t>
  </si>
  <si>
    <t xml:space="preserve">Distinctiveness Category </t>
  </si>
  <si>
    <t>Trading Notes</t>
  </si>
  <si>
    <t>Technical Difficulty Creation</t>
  </si>
  <si>
    <t>Technical Difficulty Enhancement</t>
  </si>
  <si>
    <t>Connectivity</t>
  </si>
  <si>
    <t>Arable field margins cultivated annually</t>
  </si>
  <si>
    <t>Same broad habitat or a higher distinctiveness habitat required</t>
  </si>
  <si>
    <t>Arable field margins game bird mix</t>
  </si>
  <si>
    <t>Arable field margins pollen and nectar</t>
  </si>
  <si>
    <t>Arable field margins tussocky</t>
  </si>
  <si>
    <t>Cereal crops</t>
  </si>
  <si>
    <t>Same distinctiveness or better habitat required</t>
  </si>
  <si>
    <t>Winter stubble</t>
  </si>
  <si>
    <t>Horticulture</t>
  </si>
  <si>
    <t>Intensive orchards</t>
  </si>
  <si>
    <t>Non-cereal crops</t>
  </si>
  <si>
    <t>Temporary grass and clover leys</t>
  </si>
  <si>
    <t>Bracken</t>
  </si>
  <si>
    <t>Modified grassland</t>
  </si>
  <si>
    <t>Other lowland acid grassland</t>
  </si>
  <si>
    <t>Other neutral grassland</t>
  </si>
  <si>
    <t>Upland acid grassland</t>
  </si>
  <si>
    <t>Blackthorn scrub</t>
  </si>
  <si>
    <t>Bramble scrub</t>
  </si>
  <si>
    <t>Gorse scrub</t>
  </si>
  <si>
    <t>Hawthorn scrub</t>
  </si>
  <si>
    <t>Hazel scrub</t>
  </si>
  <si>
    <t>Mixed scrub</t>
  </si>
  <si>
    <t>Rhododendron scrub</t>
  </si>
  <si>
    <t>Other sea buckthorn scrub</t>
  </si>
  <si>
    <t>Willow scrub</t>
  </si>
  <si>
    <t>Ornamental lake or pond</t>
  </si>
  <si>
    <t>High</t>
  </si>
  <si>
    <t>Ponds (non-priority habitat)</t>
  </si>
  <si>
    <t>Reservoirs</t>
  </si>
  <si>
    <t>Ruderal/Ephemeral</t>
  </si>
  <si>
    <t>Other inland rock and scree</t>
  </si>
  <si>
    <t>Tall forbs</t>
  </si>
  <si>
    <t>Allotments</t>
  </si>
  <si>
    <t>Artificial unvegetated, unsealed surface</t>
  </si>
  <si>
    <t>V.Low</t>
  </si>
  <si>
    <t>Compensation Not Required</t>
  </si>
  <si>
    <t>Bioswale</t>
  </si>
  <si>
    <t>Biodiverse green roof</t>
  </si>
  <si>
    <t>Built linear features</t>
  </si>
  <si>
    <t>Cemeteries and churchyards</t>
  </si>
  <si>
    <t>Developed land; sealed surface</t>
  </si>
  <si>
    <t>Intensive green roof</t>
  </si>
  <si>
    <t>Facade-bound green wall</t>
  </si>
  <si>
    <t>Ground based green wall</t>
  </si>
  <si>
    <t>Ground level planters</t>
  </si>
  <si>
    <t>Other green roof</t>
  </si>
  <si>
    <t>Introduced shrub</t>
  </si>
  <si>
    <t>Rain garden</t>
  </si>
  <si>
    <t>Actively worked sand pit quarry or open cast mine</t>
  </si>
  <si>
    <t>Sustainable drainage system</t>
  </si>
  <si>
    <t>Unvegetated garden</t>
  </si>
  <si>
    <t>Vacant or derelict land</t>
  </si>
  <si>
    <t>Vegetated garden</t>
  </si>
  <si>
    <t>Bare ground</t>
  </si>
  <si>
    <t>Other coniferous woodland</t>
  </si>
  <si>
    <t>Other Scot's pine woodland</t>
  </si>
  <si>
    <t>Other woodland; broadleaved</t>
  </si>
  <si>
    <t>Other woodland; mixed</t>
  </si>
  <si>
    <t>Littoral coarse sediment</t>
  </si>
  <si>
    <t>Artificial saltmarshes and saline reedbeds</t>
  </si>
  <si>
    <t>Artificial littoral coarse sediment</t>
  </si>
  <si>
    <t>Artificial littoral mud</t>
  </si>
  <si>
    <t>Artificial littoral sand</t>
  </si>
  <si>
    <t>Artificial littoral muddy sand</t>
  </si>
  <si>
    <t>Artificial littoral mixed sediments</t>
  </si>
  <si>
    <t>Artificial littoral seagrass</t>
  </si>
  <si>
    <t>Artificial littoral biogenic reefs</t>
  </si>
  <si>
    <t>Littoral sand</t>
  </si>
  <si>
    <t>Artificial hard structures</t>
  </si>
  <si>
    <t>Artificial features of hard structures</t>
  </si>
  <si>
    <t>Artificial hard structures with integrated greening of grey infrastructure (IGGI)</t>
  </si>
  <si>
    <t>Rivers</t>
  </si>
  <si>
    <t>Same habitat required</t>
  </si>
  <si>
    <t>Better distinctiveness habitat required</t>
  </si>
  <si>
    <t>N/A</t>
  </si>
  <si>
    <t>10. Condition and Temporal - general technical information for refence purposes only)</t>
  </si>
  <si>
    <t>Condition</t>
  </si>
  <si>
    <t>Temporal Multipliers</t>
  </si>
  <si>
    <t>Enhancement Rules</t>
  </si>
  <si>
    <t>Baseline Default Condition</t>
  </si>
  <si>
    <t>Creation Condition Options</t>
  </si>
  <si>
    <t>Enhancement Habitat options</t>
  </si>
  <si>
    <t>EnhancementDefault Condition</t>
  </si>
  <si>
    <t>Years To Target Condition Creation - Moderate</t>
  </si>
  <si>
    <t>Years To Target Condition Creation - Good</t>
  </si>
  <si>
    <t>Years To Target Condition Creation - Poor</t>
  </si>
  <si>
    <t>Years To Target Condition Creation - Condition assessment N/A</t>
  </si>
  <si>
    <t>Years To Target Condition Creation - N/A Other</t>
  </si>
  <si>
    <t>Time To Target Condition Enhancement - Moderate to Good</t>
  </si>
  <si>
    <t>Time To Target Distinctiveness Enhancement - Low to Default Condition</t>
  </si>
  <si>
    <t>Good</t>
  </si>
  <si>
    <t>Poor</t>
  </si>
  <si>
    <t>Condition Assessment N/A</t>
  </si>
  <si>
    <t>N/A - Other</t>
  </si>
  <si>
    <t>Enhancement not possible</t>
  </si>
  <si>
    <t>Not Possible</t>
  </si>
  <si>
    <t>Arable field margins cultivated annually, Arable field margins game bird mix, Arable field margins pollen and nectar, Arable field margins tussocky</t>
  </si>
  <si>
    <t>Condition enhancement not possible, enhancement to any medium distinctiveness cropland habitat only</t>
  </si>
  <si>
    <t>Other lowland acid grassland, Other neutral grassland, Upland acid grassland</t>
  </si>
  <si>
    <t>Condition enhancement not possible, enhancement to any medium distinctiveness grassland habitat only</t>
  </si>
  <si>
    <t>Moderate, Good</t>
  </si>
  <si>
    <t>Modified grassland, Other lowland acid grassland, Other neutral grassland, Upland acid grassland</t>
  </si>
  <si>
    <t>Condition enhancement or enhancement to any medium distinctiveness grassland habitat</t>
  </si>
  <si>
    <t>Condition enhancement only</t>
  </si>
  <si>
    <t>Blackthorn scrub, Gorse scrub, Hawthorn scrub, Hazel scrub, Mixed scrub, Willow scrub</t>
  </si>
  <si>
    <t>Condition enhancement not possible, enhancement to any medium distinctiveness habitat in heathland or shrub habitat only</t>
  </si>
  <si>
    <t>Ornamental lake or pond, Ponds (non-priority habitat)</t>
  </si>
  <si>
    <t>Condition enhancement or enhancement to non-priority pond only</t>
  </si>
  <si>
    <t>Enhancement to Biodiverse green roof.</t>
  </si>
  <si>
    <t>Intensive green roof, Biodiverse green roof</t>
  </si>
  <si>
    <t>Condition enhancement possible, enhancement to Intensive green roof and Biodiverse green roof</t>
  </si>
  <si>
    <t>Condition enhancement not possible, enhancement to Sparsely vegetated land - other inland rock and scree only</t>
  </si>
  <si>
    <t>30+</t>
  </si>
  <si>
    <t>Other Scot's pine woodland, Other woodland; broadleaved, Other woodland; mixed</t>
  </si>
  <si>
    <t>Condition enhancement or enhancement to any medium distinctiveness woodland</t>
  </si>
  <si>
    <t>Artificial hard structures, Artificial hard structures with integrated greening of grey infrastructure (IGGI)</t>
  </si>
  <si>
    <t>Condition enhancement within same distinctiveness or enhancement to medium distinctiveness habitat</t>
  </si>
  <si>
    <t>Artificial features of hard structures, Artificial hard structures with integrated greening of grey infrastructure (IGGI)</t>
  </si>
  <si>
    <t>Native hedgerow, Species-rich native hedgerow, Native hedgerow - associated with bank or ditch, Native hedgerow with trees</t>
  </si>
  <si>
    <t>Condition enhancement or enhancement to any medium distinctiveness hedgerow</t>
  </si>
  <si>
    <t xml:space="preserve"> Native hedgerow with trees, Line of trees, Line of trees - associated with bank or ditch</t>
  </si>
  <si>
    <t>Not possible</t>
  </si>
  <si>
    <t>Condition enhancement or enhancement to an ecologically valuable line of trees or any medium distinctiveness hedgerow - i.e. should retain trees</t>
  </si>
  <si>
    <t xml:space="preserve">Ecologically valuable line of trees, Ecologically valuable line of trees - associated with bank or ditch, </t>
  </si>
  <si>
    <t>Condition enhancement or enhance to an Ecologically valuable line of trees - associated with bank or ditch</t>
  </si>
  <si>
    <t xml:space="preserve"> Line of trees - associated with bank or ditch</t>
  </si>
  <si>
    <t>Ecologically valuable line of trees - associated with bank or ditch,</t>
  </si>
  <si>
    <t>Canals, Ditches</t>
  </si>
  <si>
    <t>Enhancement to Canal or Ditch</t>
  </si>
  <si>
    <t>Broadhabitattype</t>
  </si>
  <si>
    <t>Heathlandandshrub</t>
  </si>
  <si>
    <t>Intertidalhardstructures</t>
  </si>
  <si>
    <t>Intertidalsediment</t>
  </si>
  <si>
    <t>Sparselyvegetatedland</t>
  </si>
  <si>
    <t>Woodlandandforest</t>
  </si>
  <si>
    <t>HedgerowsandLinesoftrees</t>
  </si>
  <si>
    <t>Lineoftrees</t>
  </si>
  <si>
    <t>Coastalsaltmarsh</t>
  </si>
  <si>
    <t>Individualtrees</t>
  </si>
  <si>
    <t>Linear features</t>
  </si>
  <si>
    <t>difficulty</t>
  </si>
  <si>
    <t>Strategic Significance</t>
  </si>
  <si>
    <t>category</t>
  </si>
  <si>
    <t>value</t>
  </si>
  <si>
    <t>Spatial  risk</t>
  </si>
  <si>
    <t>Street trees</t>
  </si>
  <si>
    <t>Description</t>
  </si>
  <si>
    <t>score</t>
  </si>
  <si>
    <t>strategic significance</t>
  </si>
  <si>
    <t>Multiplier</t>
  </si>
  <si>
    <t>Category</t>
  </si>
  <si>
    <t>Tree size</t>
  </si>
  <si>
    <t>Diameter M</t>
  </si>
  <si>
    <t>RPA Radius M</t>
  </si>
  <si>
    <t>RPA ha</t>
  </si>
  <si>
    <t>Local Authority List</t>
  </si>
  <si>
    <t>Application type</t>
  </si>
  <si>
    <t>Highly connected habitat</t>
  </si>
  <si>
    <t xml:space="preserve">High strategic significance </t>
  </si>
  <si>
    <t>Compensation inside LPA or NCA, or deemed to be sufficiently local, to site of biodiversity loss</t>
  </si>
  <si>
    <t>Small</t>
  </si>
  <si>
    <t>Adur and Worthing Borough Council</t>
  </si>
  <si>
    <t>Householder planning consent</t>
  </si>
  <si>
    <t>Moderately connected habitat</t>
  </si>
  <si>
    <t>Low Strategic Significance</t>
  </si>
  <si>
    <r>
      <rPr>
        <sz val="11"/>
        <color rgb="FF000000"/>
        <rFont val="Calibri"/>
        <family val="2"/>
      </rPr>
      <t xml:space="preserve">Compensation </t>
    </r>
    <r>
      <rPr>
        <u/>
        <sz val="11"/>
        <color rgb="FF000000"/>
        <rFont val="Calibri"/>
        <family val="2"/>
      </rPr>
      <t>outside</t>
    </r>
    <r>
      <rPr>
        <sz val="11"/>
        <color rgb="FF000000"/>
        <rFont val="Calibri"/>
        <family val="2"/>
      </rPr>
      <t xml:space="preserve"> LPA or NCA of impact site but in neighbouring LPA or NCA</t>
    </r>
  </si>
  <si>
    <t>Adur District Council</t>
  </si>
  <si>
    <t>Full planning consent</t>
  </si>
  <si>
    <t>Unconnected habitat</t>
  </si>
  <si>
    <t>Very High</t>
  </si>
  <si>
    <r>
      <rPr>
        <sz val="11"/>
        <color rgb="FF000000"/>
        <rFont val="Calibri"/>
        <family val="2"/>
      </rPr>
      <t xml:space="preserve">Compensation </t>
    </r>
    <r>
      <rPr>
        <u/>
        <sz val="11"/>
        <color rgb="FF000000"/>
        <rFont val="Calibri"/>
        <family val="2"/>
      </rPr>
      <t>outside</t>
    </r>
    <r>
      <rPr>
        <sz val="11"/>
        <color rgb="FF000000"/>
        <rFont val="Calibri"/>
        <family val="2"/>
      </rPr>
      <t xml:space="preserve"> LPA or NCA of impact site and beyond neighbouring LPA or NCA </t>
    </r>
  </si>
  <si>
    <t>Large</t>
  </si>
  <si>
    <t>Allerdale Borough Council</t>
  </si>
  <si>
    <t>Hybrid planning consent</t>
  </si>
  <si>
    <t>Assessment not appropriate</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</si>
  <si>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</si>
  <si>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</si>
  <si>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</si>
  <si>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</si>
  <si>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</si>
  <si>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</si>
  <si>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</si>
  <si>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</si>
  <si>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</si>
  <si>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</si>
  <si>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</si>
  <si>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</si>
  <si>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Distinctiveness categories</t>
  </si>
  <si>
    <t>Condition categories</t>
  </si>
  <si>
    <t>Temporal multipliers</t>
  </si>
  <si>
    <t>Hedges Distinctiveness categories</t>
  </si>
  <si>
    <t>Barnsley Metropolitan Borough Council</t>
  </si>
  <si>
    <t>Removal/variation of conditions</t>
  </si>
  <si>
    <t>Distinctiveness Category</t>
  </si>
  <si>
    <t>Distinctiveness Score</t>
  </si>
  <si>
    <t>Suggested Action</t>
  </si>
  <si>
    <t>Condition Multiplier</t>
  </si>
  <si>
    <t>Condition Assessment Score</t>
  </si>
  <si>
    <t>Year</t>
  </si>
  <si>
    <t>% of original unit</t>
  </si>
  <si>
    <t>Time to target Multiplier</t>
  </si>
  <si>
    <t>RPA m2</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</si>
  <si>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</si>
  <si>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</si>
  <si>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</si>
  <si>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</si>
  <si>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</si>
  <si>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</si>
  <si>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</si>
  <si>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</si>
  <si>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Very Large</t>
  </si>
  <si>
    <t>Bath and North East Somerset Council</t>
  </si>
  <si>
    <t>Other</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</si>
  <si>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</si>
  <si>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</si>
  <si>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</si>
  <si>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</si>
  <si>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</si>
  <si>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</si>
  <si>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</si>
  <si>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</si>
  <si>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</si>
  <si>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</si>
  <si>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</si>
  <si>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</si>
  <si>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</si>
  <si>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</si>
  <si>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</si>
  <si>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</si>
  <si>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</si>
  <si>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</si>
  <si>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</si>
  <si>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</si>
  <si>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</si>
  <si>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</si>
  <si>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</si>
  <si>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</si>
  <si>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</si>
  <si>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</si>
  <si>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</si>
  <si>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</si>
  <si>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</si>
  <si>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</si>
  <si>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</si>
  <si>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</si>
  <si>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</si>
  <si>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</si>
  <si>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</si>
  <si>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</si>
  <si>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</si>
  <si>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</si>
  <si>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</si>
  <si>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</si>
  <si>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</si>
  <si>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</si>
  <si>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</si>
  <si>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</si>
  <si>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</si>
  <si>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</si>
  <si>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</si>
  <si>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</si>
  <si>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</si>
  <si>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</si>
  <si>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</si>
  <si>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</si>
  <si>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</si>
  <si>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</si>
  <si>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</si>
  <si>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</si>
  <si>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</si>
  <si>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</si>
  <si>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</si>
  <si>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</si>
  <si>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</si>
  <si>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</si>
  <si>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</si>
  <si>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</si>
  <si>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</si>
  <si>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</si>
  <si>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</si>
  <si>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</si>
  <si>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</si>
  <si>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</si>
  <si>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</si>
  <si>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</si>
  <si>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</si>
  <si>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</si>
  <si>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</si>
  <si>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</si>
  <si>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</si>
  <si>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</si>
  <si>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</si>
  <si>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</si>
  <si>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</si>
  <si>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</si>
  <si>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</si>
  <si>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</si>
  <si>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</si>
  <si>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</si>
  <si>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</si>
  <si>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</si>
  <si>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</si>
  <si>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</si>
  <si>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</si>
  <si>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</si>
  <si>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</si>
  <si>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</si>
  <si>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</si>
  <si>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</si>
  <si>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</si>
  <si>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</si>
  <si>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</si>
  <si>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</si>
  <si>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</si>
  <si>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</si>
  <si>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</si>
  <si>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</si>
  <si>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</si>
  <si>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</si>
  <si>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</si>
  <si>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</si>
  <si>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</si>
  <si>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</si>
  <si>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</si>
  <si>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</si>
  <si>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</si>
  <si>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</si>
  <si>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</si>
  <si>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</si>
  <si>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</si>
  <si>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</si>
  <si>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</si>
  <si>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</si>
  <si>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</si>
  <si>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</si>
  <si>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</si>
  <si>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</si>
  <si>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</si>
  <si>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</si>
  <si>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</si>
  <si>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</si>
  <si>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</si>
  <si>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</si>
  <si>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</si>
  <si>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</si>
  <si>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</si>
  <si>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</si>
  <si>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</si>
  <si>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</si>
  <si>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</si>
  <si>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</si>
  <si>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</si>
  <si>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</si>
  <si>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</si>
  <si>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</si>
  <si>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</si>
  <si>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</si>
  <si>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</si>
  <si>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</si>
  <si>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</si>
  <si>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</si>
  <si>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</si>
  <si>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</si>
  <si>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</si>
  <si>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</si>
  <si>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</si>
  <si>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</si>
  <si>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</si>
  <si>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</si>
  <si>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</si>
  <si>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</si>
  <si>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</si>
  <si>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</si>
  <si>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</si>
  <si>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</si>
  <si>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</si>
  <si>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</si>
  <si>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</si>
  <si>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</si>
  <si>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</si>
  <si>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</si>
  <si>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</si>
  <si>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</si>
  <si>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</si>
  <si>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</si>
  <si>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</si>
  <si>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</si>
  <si>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</si>
  <si>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</si>
  <si>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</si>
  <si>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</si>
  <si>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</si>
  <si>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</si>
  <si>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</si>
  <si>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</si>
  <si>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</si>
  <si>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</si>
  <si>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</si>
  <si>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</si>
  <si>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</si>
  <si>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</si>
  <si>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</si>
  <si>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</si>
  <si>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</si>
  <si>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</si>
  <si>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</si>
  <si>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</si>
  <si>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</si>
  <si>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</si>
  <si>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</si>
  <si>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</si>
  <si>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</si>
  <si>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</si>
  <si>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</si>
  <si>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</si>
  <si>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</si>
  <si>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</si>
  <si>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</si>
  <si>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</si>
  <si>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</si>
  <si>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</si>
  <si>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</si>
  <si>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</si>
  <si>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</si>
  <si>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</si>
  <si>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</si>
  <si>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</si>
  <si>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</si>
  <si>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</si>
  <si>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</si>
  <si>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</si>
  <si>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</si>
  <si>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</si>
  <si>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</si>
  <si>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</si>
  <si>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</si>
  <si>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</si>
  <si>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</si>
  <si>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</si>
  <si>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</si>
  <si>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</si>
  <si>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</si>
  <si>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</si>
  <si>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</si>
  <si>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</si>
  <si>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</si>
  <si>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</si>
  <si>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</si>
  <si>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</si>
  <si>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</si>
  <si>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</si>
  <si>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</si>
  <si>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</si>
  <si>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</si>
  <si>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</si>
  <si>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</si>
  <si>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</si>
  <si>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</si>
  <si>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</si>
  <si>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</si>
  <si>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</si>
  <si>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</si>
  <si>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</si>
  <si>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</si>
  <si>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</si>
  <si>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</si>
  <si>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</si>
  <si>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</si>
  <si>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</si>
  <si>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</si>
  <si>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</si>
  <si>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</si>
  <si>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</si>
  <si>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</si>
  <si>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</si>
  <si>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</si>
  <si>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</si>
  <si>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</si>
  <si>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</si>
  <si>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</si>
  <si>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</si>
  <si>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</si>
  <si>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</si>
  <si>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</si>
  <si>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</si>
  <si>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</si>
  <si>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</si>
  <si>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</si>
  <si>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</si>
  <si>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</si>
  <si>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</si>
  <si>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</si>
  <si>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</si>
  <si>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</si>
  <si>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</si>
  <si>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</si>
  <si>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</si>
  <si>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</si>
  <si>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</si>
  <si>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</si>
  <si>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</si>
  <si>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</si>
  <si>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</si>
  <si>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</si>
  <si>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</si>
  <si>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</si>
  <si>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</si>
  <si>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</si>
  <si>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</si>
  <si>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</si>
  <si>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</si>
  <si>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</si>
  <si>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</si>
  <si>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</si>
  <si>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</si>
  <si>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</si>
  <si>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</si>
  <si>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</si>
  <si>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</si>
  <si>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</si>
  <si>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</si>
  <si>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</si>
  <si>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</si>
  <si>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</si>
  <si>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</si>
  <si>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</si>
  <si>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</si>
  <si>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</si>
  <si>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</si>
  <si>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</si>
  <si>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</si>
  <si>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</si>
  <si>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</si>
  <si>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</si>
  <si>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</si>
  <si>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</si>
  <si>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</si>
  <si>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</si>
  <si>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</si>
  <si>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</si>
  <si>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</si>
  <si>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</si>
  <si>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</si>
  <si>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</si>
  <si>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</si>
  <si>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</si>
  <si>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</si>
  <si>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</si>
  <si>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</si>
  <si>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</si>
  <si>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</si>
  <si>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</si>
  <si>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</si>
  <si>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</si>
  <si>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</si>
  <si>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</si>
  <si>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</si>
  <si>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</si>
  <si>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</si>
  <si>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</si>
  <si>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</si>
  <si>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</si>
  <si>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</si>
  <si>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</si>
  <si>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</si>
  <si>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</si>
  <si>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</si>
  <si>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</si>
  <si>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</si>
  <si>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</si>
  <si>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</si>
  <si>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</si>
  <si>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</si>
  <si>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</si>
  <si>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</si>
  <si>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BNG Group</t>
  </si>
  <si>
    <t>Landsacpe Term</t>
  </si>
  <si>
    <t>Unique Landscape Term (inc. BNG Code)</t>
  </si>
  <si>
    <t>BNG Habitat</t>
  </si>
  <si>
    <t xml:space="preserve">Coastal saltmarsh </t>
  </si>
  <si>
    <t>Saltmarsh</t>
  </si>
  <si>
    <t>Saltmarsh - A2.5</t>
  </si>
  <si>
    <t>Saltmarshes and saline reedbeds</t>
  </si>
  <si>
    <t>Arable - c1c</t>
  </si>
  <si>
    <t>Arable - c1c7</t>
  </si>
  <si>
    <t>Cereal crops other</t>
  </si>
  <si>
    <t>Arable - c1d</t>
  </si>
  <si>
    <t>Arable - c1b</t>
  </si>
  <si>
    <t>Cropland margins</t>
  </si>
  <si>
    <t>Arable - c1a7</t>
  </si>
  <si>
    <t>Arable - c1a8</t>
  </si>
  <si>
    <t>Arable - c1a6</t>
  </si>
  <si>
    <t>Arable field margins pollen &amp; nectar</t>
  </si>
  <si>
    <t>Arable - c1a</t>
  </si>
  <si>
    <t>Arable - c1c5</t>
  </si>
  <si>
    <t>Cereal crops winter stubble</t>
  </si>
  <si>
    <t>Horticulture - c1f</t>
  </si>
  <si>
    <t>Orchard</t>
  </si>
  <si>
    <t>Orchard - c1e</t>
  </si>
  <si>
    <t>grassland</t>
  </si>
  <si>
    <t>Amenity Grassland</t>
  </si>
  <si>
    <t>Amenity Grassland - g4</t>
  </si>
  <si>
    <t>Bracken - g1c</t>
  </si>
  <si>
    <t>Meadow Grassland</t>
  </si>
  <si>
    <t>Meadow Grassland - g1d</t>
  </si>
  <si>
    <t>Meadow Grassland - g3c</t>
  </si>
  <si>
    <t>Meadow Grassland - g1b</t>
  </si>
  <si>
    <t>Invasive Scrub</t>
  </si>
  <si>
    <t>Invasive Scrub - h3g</t>
  </si>
  <si>
    <t>Native Scrub</t>
  </si>
  <si>
    <t>Native Scrub - h3a</t>
  </si>
  <si>
    <t>Native Scrub - h3d</t>
  </si>
  <si>
    <t>Native Scrub - h3e</t>
  </si>
  <si>
    <t>Native Scrub - h3f</t>
  </si>
  <si>
    <t>Native Scrub - h3b</t>
  </si>
  <si>
    <t>Native Scrub - h3h</t>
  </si>
  <si>
    <t>Native Scrub - h3cNE2</t>
  </si>
  <si>
    <t>Sea buckthorn scrub (other)</t>
  </si>
  <si>
    <t>Hedgerow</t>
  </si>
  <si>
    <t>Native Hedge</t>
  </si>
  <si>
    <t>Native Hedge - h2NE5</t>
  </si>
  <si>
    <t>Native Hedgerow</t>
  </si>
  <si>
    <t>Native Hedge - h2NE2</t>
  </si>
  <si>
    <t>Native Species Rich Hedgerow</t>
  </si>
  <si>
    <t>Native Hedge - h2NE9</t>
  </si>
  <si>
    <t>Native Hedgerow - Associated with bank or ditch</t>
  </si>
  <si>
    <t>Native Hedge with Standard Trees</t>
  </si>
  <si>
    <t>Native Hedge with Standard Trees - h2NE4</t>
  </si>
  <si>
    <t>Native Hedgerow with trees</t>
  </si>
  <si>
    <t>Native Hedge with Standard Trees - h2NE1</t>
  </si>
  <si>
    <t>Native Species Rich Hedgerow with trees</t>
  </si>
  <si>
    <t>Native Hedge with Standard Trees - h2NE8</t>
  </si>
  <si>
    <t>Native Hedgerow with trees - Associated with bank or ditch</t>
  </si>
  <si>
    <t>Ornamental Hedge</t>
  </si>
  <si>
    <t>Ornamental Hedge - h2NE3</t>
  </si>
  <si>
    <t>Hedge Ornamental Non Native</t>
  </si>
  <si>
    <t>Standard Trees</t>
  </si>
  <si>
    <t>Standard Trees - w1g6NE4</t>
  </si>
  <si>
    <t>Line of Trees - Associated with bank or ditch</t>
  </si>
  <si>
    <t>Standard Trees - w1g6NE2</t>
  </si>
  <si>
    <t>Line of Trees</t>
  </si>
  <si>
    <t>Standard Trees - w1g6NE1</t>
  </si>
  <si>
    <t>Line of Trees (Ecologically Valuable) - with Bank or Ditch</t>
  </si>
  <si>
    <t>Standard Trees - w1g6NE3</t>
  </si>
  <si>
    <t>Line of Trees (Ecologically Valuable)</t>
  </si>
  <si>
    <t>Intertidal Hard Structures</t>
  </si>
  <si>
    <t>INTERTIDAL TBC</t>
  </si>
  <si>
    <t>INTERTIDAL TBC - ART_A1.4</t>
  </si>
  <si>
    <t>low</t>
  </si>
  <si>
    <t>INTERTIDAL TBC - ART_A1</t>
  </si>
  <si>
    <t>INTERTIDAL TBC - ART_A1_IGGI</t>
  </si>
  <si>
    <t>Artificial hard structures with Integrated Greening of Grey Infrastructure (IGGI)</t>
  </si>
  <si>
    <t>INTERTIDAL TBC - ART_A2.7</t>
  </si>
  <si>
    <t>INTERTIDAL TBC - ART_A2.1</t>
  </si>
  <si>
    <t>INTERTIDAL TBC - ART_A2.4</t>
  </si>
  <si>
    <t>INTERTIDAL TBC - ART_A2.3</t>
  </si>
  <si>
    <t>INTERTIDAL TBC - ART_A2.24</t>
  </si>
  <si>
    <t>INTERTIDAL TBC - ART_A2.21</t>
  </si>
  <si>
    <t>INTERTIDAL TBC - ART_A2.6</t>
  </si>
  <si>
    <t>INTERTIDAL TBC - A2.4</t>
  </si>
  <si>
    <t>Littoral mixed sediments</t>
  </si>
  <si>
    <t>INTERTIDAL TBC - A2.24</t>
  </si>
  <si>
    <t>Littoral muddy sand</t>
  </si>
  <si>
    <t>INTERTIDAL TBC - A2.21</t>
  </si>
  <si>
    <t>Reservoirs - 108</t>
  </si>
  <si>
    <t>Wildlfe Pond</t>
  </si>
  <si>
    <t>Wildlfe Pond - r1b</t>
  </si>
  <si>
    <t>Ponds (Non- Priority Habitat)</t>
  </si>
  <si>
    <t>Rivers &amp; Streams</t>
  </si>
  <si>
    <t>Canal</t>
  </si>
  <si>
    <t>Canal - r1eNE1</t>
  </si>
  <si>
    <t>Culvert - rNE1</t>
  </si>
  <si>
    <t>Ditch</t>
  </si>
  <si>
    <t>Ditch - r1eNE2</t>
  </si>
  <si>
    <t>Ruderals</t>
  </si>
  <si>
    <t>Ruderals - 17</t>
  </si>
  <si>
    <t>Scree</t>
  </si>
  <si>
    <t>Scree - s1d</t>
  </si>
  <si>
    <t>Allotments - 910</t>
  </si>
  <si>
    <t>Bareground</t>
  </si>
  <si>
    <t>Bareground - 350</t>
  </si>
  <si>
    <t>Vacant/derelict land/ bareground</t>
  </si>
  <si>
    <t>Biodiverse Roof</t>
  </si>
  <si>
    <t>Biodiverse Roof - 1113</t>
  </si>
  <si>
    <t>Brown roof</t>
  </si>
  <si>
    <t>Bioswale - 1191</t>
  </si>
  <si>
    <t>Cemetery</t>
  </si>
  <si>
    <t>Cemetery - 800</t>
  </si>
  <si>
    <t>Garden</t>
  </si>
  <si>
    <t>Garden - 231</t>
  </si>
  <si>
    <t>Garden - 232</t>
  </si>
  <si>
    <t>Un-vegetated garden</t>
  </si>
  <si>
    <t>Green Roof</t>
  </si>
  <si>
    <t>Green Roof - 1111</t>
  </si>
  <si>
    <t>Extensive green roof</t>
  </si>
  <si>
    <t>Green Roof - Sedum</t>
  </si>
  <si>
    <t>Green Roof - Sedum - 1112</t>
  </si>
  <si>
    <t>Green Wall</t>
  </si>
  <si>
    <t>Green Wall - 1122</t>
  </si>
  <si>
    <t>Green Wall - 1121</t>
  </si>
  <si>
    <t>Impermeable Hardscape</t>
  </si>
  <si>
    <t>Impermeable Hardscape - u1b</t>
  </si>
  <si>
    <t>Ornamental Pond</t>
  </si>
  <si>
    <t>Ornamental Pond - 362</t>
  </si>
  <si>
    <t>Ornamental Shrub Planting</t>
  </si>
  <si>
    <t>Ornamental Shrub Planting - 1160</t>
  </si>
  <si>
    <t>Permeable Hardscape</t>
  </si>
  <si>
    <t>Permeable Hardscape - u1c</t>
  </si>
  <si>
    <t>Planters</t>
  </si>
  <si>
    <t>Planters - 1140</t>
  </si>
  <si>
    <t>Quarry</t>
  </si>
  <si>
    <t>Quarry - 1030</t>
  </si>
  <si>
    <t>Sand pit quarry or open cast mine</t>
  </si>
  <si>
    <t>Standard Tree</t>
  </si>
  <si>
    <t>Standard Tree - 1170</t>
  </si>
  <si>
    <t>Urban Tree</t>
  </si>
  <si>
    <t>SUDS</t>
  </si>
  <si>
    <t>SUDS - 1192</t>
  </si>
  <si>
    <t>SUDS - 1119</t>
  </si>
  <si>
    <t>Sustainable urban drainage feature</t>
  </si>
  <si>
    <t>Wall</t>
  </si>
  <si>
    <t>Wall - u1e</t>
  </si>
  <si>
    <t>Conifer Woodland</t>
  </si>
  <si>
    <t>Conifer Woodland - w2c</t>
  </si>
  <si>
    <t>Conifer Woodland - w2b</t>
  </si>
  <si>
    <t>Other Scot's Pine woodland</t>
  </si>
  <si>
    <t>Native Broadleaved Woodland</t>
  </si>
  <si>
    <t>Native Broadleaved Woodland - w1g</t>
  </si>
  <si>
    <t>Native Mixed Woodland</t>
  </si>
  <si>
    <t>Native Mixed Woodland - w1h</t>
  </si>
  <si>
    <t>Richmond Upon Thames</t>
  </si>
  <si>
    <t>4788</t>
  </si>
  <si>
    <t>Lewis &amp; Hickey</t>
  </si>
  <si>
    <t>Full Application</t>
  </si>
  <si>
    <t>Lewis &amp; Hickey (Architect)</t>
  </si>
  <si>
    <t>01/08/2024</t>
  </si>
  <si>
    <t>Mixed</t>
  </si>
  <si>
    <t>Between 1 - 9 dwellings</t>
  </si>
  <si>
    <t>Within 500m of site boundary</t>
  </si>
  <si>
    <t xml:space="preserve">Priority Habitat Inventory - Deciduous Woodland (England) (NE UID: dd21d64b-1a0b-41a5-8868-622700f22ac4) - Within 500m 
Priority Habitat Inventory - Deciduous Woodland (England) (NE UID: 9f5aa7b7-52ab-4c89-8587-9593a3567859) - Within 500m 
Priority Habitat Inventory - Deciduous Woodland (England) (NE UID: 41be6cff-a07b-436f-af36-62ac440c98b3) - Within 500m 
Priority Habitat Inventory - Deciduous Woodland (England) (NE UID: 5eadc8c8-4e2e-42bd-99fc-1dbd9bd5f8c6) - Within 500m 
Priority Habitat Inventory - Deciduous Woodland (England) (NE UID: ef09d61a-3288-4180-a460-8e940cc52c1b) - Within 500m 
Priority Habitat Inventory - Deciduous Woodland (England) (NE UID: 3f4f66d8-5882-4aeb-862f-65a2c3593943) - Within 500m 
Priority Habitat Inventory - Deciduous Woodland (England) (NE UID: b0c4638f-0856-44ba-9131-98635a57677b) - Within 500m 
Priority Habitat Inventory - Deciduous Woodland (England) (NE UID: 7de1f75a-adbf-432e-97a3-b09bab1de992) - Within 500m 
Priority Habitat Inventory - Deciduous Woodland (England) (NE UID: e6ef1f14-e594-43ec-a18c-b20c5b14bd27) - Within 500m 
Priority Habitat Inventory - Deciduous Woodland (England) (NE UID: 28007858-c00a-4f61-991b-f4121d163ab9) - Within 500m 
Local Nature Reserves (NE UID: f56ae816-a14d-4c01-b9b3-ffafd509e791) - Within 500m 
</t>
  </si>
  <si>
    <t>Walkover completed by competent person</t>
  </si>
  <si>
    <t>01/07/2024</t>
  </si>
  <si>
    <t>Helen Yousefi-Atkinson (Architect)</t>
  </si>
  <si>
    <t xml:space="preserve">This metric sheet is provided as evidence that the site falls witthin the de minimis threshold. As set out in Tab 5, the total area of non-zero rated habitats within the site is 7.31m2 (5.61+1.70).  Please noteslight discrepencies may exist of ±1m2 for developed land sealed surface as post-development reflects the addition of domers that are not captured well under the UKHAB sysstem. End result is clearly below the de minimis threshold.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</si>
</sst>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0"/>
    <numFmt numFmtId="166" formatCode="_-&quot;£&quot;* #,##0_-;\-&quot;£&quot;* #,##0_-;_-&quot;£&quot;* &quot;-&quot;??_-;_-@_-"/>
    <numFmt numFmtId="167" formatCode="[$-F800]dddd\,\ mmmm\ dd\,\ yyyy"/>
  </numFmts>
  <fonts count="56" x14ac:knownFonts="1">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0"/>
      <name val="Arial"/>
      <family val="2"/>
    </font>
    <font>
      <b/>
      <sz val="24"/>
      <color theme="1"/>
      <name val="Calibri"/>
      <family val="2"/>
      <scheme val="minor"/>
    </font>
    <font>
      <i/>
      <sz val="14"/>
      <color rgb="FFFFFFFF"/>
      <name val="Calibri"/>
      <family val="2"/>
      <scheme val="minor"/>
    </font>
    <font>
      <b/>
      <sz val="22"/>
      <color theme="1"/>
      <name val="Calibri"/>
      <family val="2"/>
      <scheme val="minor"/>
    </font>
    <font>
      <b/>
      <sz val="12"/>
      <name val="Calibri"/>
      <family val="2"/>
      <scheme val="minor"/>
    </font>
    <font>
      <b/>
      <sz val="12"/>
      <color theme="0"/>
      <name val="Calibri"/>
      <family val="2"/>
      <scheme val="minor"/>
    </font>
    <font>
      <sz val="11"/>
      <color theme="1"/>
      <name val="Calibri"/>
      <family val="2"/>
      <scheme val="minor"/>
    </font>
    <font>
      <b/>
      <sz val="11"/>
      <color theme="0"/>
      <name val="Calibri"/>
      <family val="2"/>
      <scheme val="minor"/>
    </font>
    <font>
      <b/>
      <sz val="14"/>
      <color rgb="FFFFFFFF"/>
      <name val="Calibri"/>
      <family val="2"/>
      <scheme val="minor"/>
    </font>
    <font>
      <sz val="12"/>
      <color theme="1"/>
      <name val="Calibri"/>
      <family val="2"/>
      <scheme val="minor"/>
    </font>
    <font>
      <sz val="14"/>
      <color theme="1"/>
      <name val="Calibri"/>
      <family val="2"/>
      <scheme val="minor"/>
    </font>
    <font>
      <sz val="12"/>
      <color theme="1"/>
      <name val="Arial"/>
      <family val="2"/>
    </font>
    <font>
      <sz val="8"/>
      <name val="Calibri"/>
      <family val="2"/>
      <scheme val="minor"/>
    </font>
    <font>
      <b/>
      <sz val="14"/>
      <color theme="0"/>
      <name val="Calibri"/>
      <family val="2"/>
      <scheme val="minor"/>
    </font>
    <font>
      <b/>
      <i/>
      <sz val="14"/>
      <color rgb="FFFFFFFF"/>
      <name val="Calibri"/>
      <family val="2"/>
      <scheme val="minor"/>
    </font>
    <font>
      <b/>
      <sz val="14"/>
      <name val="Calibri"/>
      <family val="2"/>
      <scheme val="minor"/>
    </font>
    <font>
      <sz val="12"/>
      <name val="Calibri"/>
      <family val="2"/>
      <scheme val="minor"/>
    </font>
    <font>
      <b/>
      <sz val="28"/>
      <color theme="1"/>
      <name val="Calibri"/>
      <family val="2"/>
      <scheme val="minor"/>
    </font>
    <font>
      <sz val="12"/>
      <color theme="0"/>
      <name val="Calibri"/>
      <family val="2"/>
      <scheme val="minor"/>
    </font>
    <font>
      <b/>
      <sz val="20"/>
      <color theme="1"/>
      <name val="Calibri"/>
      <family val="2"/>
      <scheme val="minor"/>
    </font>
    <font>
      <sz val="11"/>
      <color rgb="FF9C5700"/>
      <name val="Calibri"/>
      <family val="2"/>
      <scheme val="minor"/>
    </font>
    <font>
      <sz val="11"/>
      <color theme="0"/>
      <name val="Calibri"/>
      <family val="2"/>
      <scheme val="minor"/>
    </font>
    <font>
      <b/>
      <vertAlign val="superscript"/>
      <sz val="14"/>
      <color theme="0"/>
      <name val="Calibri"/>
      <family val="2"/>
      <scheme val="minor"/>
    </font>
    <font>
      <sz val="14"/>
      <color rgb="FF9C5700"/>
      <name val="Calibri"/>
      <family val="2"/>
      <scheme val="minor"/>
    </font>
    <font>
      <b/>
      <sz val="22"/>
      <color theme="0"/>
      <name val="Calibri"/>
      <family val="2"/>
      <scheme val="minor"/>
    </font>
    <font>
      <sz val="12"/>
      <color rgb="FFFF0000"/>
      <name val="Calibri"/>
      <family val="2"/>
      <scheme val="minor"/>
    </font>
    <font>
      <b/>
      <sz val="12"/>
      <color theme="1"/>
      <name val="Calibri"/>
      <family val="2"/>
      <scheme val="minor"/>
    </font>
    <font>
      <b/>
      <u/>
      <sz val="16"/>
      <color theme="1"/>
      <name val="Calibri"/>
      <family val="2"/>
      <scheme val="minor"/>
    </font>
    <font>
      <u/>
      <sz val="11"/>
      <color theme="1"/>
      <name val="Calibri"/>
      <family val="2"/>
      <scheme val="minor"/>
    </font>
    <font>
      <sz val="11"/>
      <color theme="4" tint="0.39997558519241921"/>
      <name val="Calibri"/>
      <family val="2"/>
      <scheme val="minor"/>
    </font>
    <font>
      <sz val="10"/>
      <color theme="1"/>
      <name val="Arial"/>
      <family val="2"/>
    </font>
    <font>
      <sz val="11"/>
      <color rgb="FFF2F0D9"/>
      <name val="Calibri"/>
      <family val="2"/>
      <scheme val="minor"/>
    </font>
    <font>
      <b/>
      <u/>
      <sz val="14"/>
      <color theme="1"/>
      <name val="Calibri"/>
      <family val="2"/>
      <scheme val="minor"/>
    </font>
    <font>
      <b/>
      <sz val="11"/>
      <color rgb="FFF2F0D9"/>
      <name val="Calibri"/>
      <family val="2"/>
      <scheme val="minor"/>
    </font>
    <font>
      <b/>
      <sz val="10"/>
      <color theme="0"/>
      <name val="Arial"/>
      <family val="2"/>
    </font>
    <font>
      <b/>
      <sz val="11"/>
      <color rgb="FFFF0000"/>
      <name val="Calibri"/>
      <family val="2"/>
      <scheme val="minor"/>
    </font>
    <font>
      <sz val="11"/>
      <color theme="1"/>
      <name val="Abadi Extra Light"/>
      <family val="2"/>
      <charset val="1"/>
    </font>
    <font>
      <b/>
      <vertAlign val="superscript"/>
      <sz val="12"/>
      <color theme="0"/>
      <name val="Calibri"/>
      <family val="2"/>
      <scheme val="minor"/>
    </font>
    <font>
      <sz val="11"/>
      <color rgb="FFFFCCFF"/>
      <name val="Calibri"/>
      <family val="2"/>
      <scheme val="minor"/>
    </font>
    <font>
      <sz val="11"/>
      <color rgb="FFF2EAD9"/>
      <name val="Calibri"/>
      <family val="2"/>
      <scheme val="minor"/>
    </font>
    <font>
      <sz val="12"/>
      <color rgb="FFF2F0D9"/>
      <name val="Calibri"/>
      <family val="2"/>
      <scheme val="minor"/>
    </font>
    <font>
      <sz val="12"/>
      <name val="Segoe UI Symbol"/>
      <family val="2"/>
    </font>
    <font>
      <b/>
      <sz val="14"/>
      <color theme="9" tint="0.39997558519241921"/>
      <name val="Calibri"/>
      <family val="2"/>
      <scheme val="minor"/>
    </font>
    <font>
      <b/>
      <sz val="14"/>
      <color theme="0" tint="-0.249977111117893"/>
      <name val="Calibri"/>
      <family val="2"/>
      <scheme val="minor"/>
    </font>
    <font>
      <b/>
      <sz val="10"/>
      <color theme="0"/>
      <name val="Calibri"/>
      <family val="2"/>
      <scheme val="minor"/>
    </font>
    <font>
      <b/>
      <sz val="14"/>
      <color theme="0"/>
      <name val="Calibri"/>
      <family val="2"/>
    </font>
    <font>
      <b/>
      <sz val="12"/>
      <color theme="0"/>
      <name val="Calibri"/>
      <family val="2"/>
    </font>
    <font>
      <sz val="11"/>
      <color rgb="FF000000"/>
      <name val="Calibri"/>
      <family val="2"/>
    </font>
    <font>
      <u/>
      <sz val="11"/>
      <color rgb="FF000000"/>
      <name val="Calibri"/>
      <family val="2"/>
    </font>
  </fonts>
  <fills count="35">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2F0D9"/>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505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5E5C"/>
        <bgColor indexed="64"/>
      </patternFill>
    </fill>
    <fill>
      <patternFill patternType="solid">
        <fgColor rgb="FFFFDDFF"/>
        <bgColor indexed="64"/>
      </patternFill>
    </fill>
    <fill>
      <patternFill patternType="solid">
        <fgColor rgb="FFFFFF99"/>
        <bgColor indexed="64"/>
      </patternFill>
    </fill>
    <fill>
      <patternFill patternType="solid">
        <fgColor rgb="FFE2C4A6"/>
        <bgColor indexed="64"/>
      </patternFill>
    </fill>
    <fill>
      <patternFill patternType="solid">
        <fgColor rgb="FFC00000"/>
        <bgColor indexed="64"/>
      </patternFill>
    </fill>
    <fill>
      <patternFill patternType="solid">
        <fgColor rgb="FF305496"/>
        <bgColor indexed="64"/>
      </patternFill>
    </fill>
    <fill>
      <patternFill patternType="solid">
        <fgColor rgb="FFFFC000"/>
        <bgColor indexed="64"/>
      </patternFill>
    </fill>
    <fill>
      <patternFill patternType="solid">
        <fgColor rgb="FFF2F2F2"/>
        <bgColor indexed="64"/>
      </patternFill>
    </fill>
    <fill>
      <patternFill patternType="solid">
        <fgColor rgb="FF7B7B7B"/>
        <bgColor indexed="64"/>
      </patternFill>
    </fill>
    <fill>
      <patternFill patternType="solid">
        <fgColor rgb="FFBDD7EE"/>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0" tint="-0.249977111117893"/>
        <bgColor indexed="64"/>
      </patternFill>
    </fill>
  </fills>
  <borders count="8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32">
    <xf numFmtId="0" fontId="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3" fillId="0" borderId="0"/>
    <xf numFmtId="0" fontId="7" fillId="0" borderId="0"/>
    <xf numFmtId="0" fontId="7" fillId="0" borderId="0"/>
    <xf numFmtId="0" fontId="18"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13" fillId="0" borderId="0" applyFont="0" applyFill="0" applyBorder="0" applyAlignment="0" applyProtection="0"/>
  </cellStyleXfs>
  <cellXfs count="1055">
    <xf numFmtId="0" fontId="0" fillId="0" borderId="0" xfId="0"/>
    <xf numFmtId="0" fontId="0" fillId="0" borderId="28" xfId="0" applyBorder="1" applyAlignment="1">
      <alignment horizontal="center" vertical="center" wrapText="1"/>
    </xf>
    <xf numFmtId="0" fontId="0" fillId="0" borderId="25" xfId="0" applyBorder="1" applyAlignment="1">
      <alignment horizontal="center" vertical="center" wrapText="1"/>
    </xf>
    <xf numFmtId="0" fontId="0" fillId="0" borderId="13" xfId="0" applyBorder="1" applyAlignment="1">
      <alignment horizontal="center" vertical="center"/>
    </xf>
    <xf numFmtId="0" fontId="0" fillId="0" borderId="18" xfId="0" applyBorder="1" applyAlignment="1">
      <alignment horizontal="center" vertical="center"/>
    </xf>
    <xf numFmtId="0" fontId="0" fillId="0" borderId="39" xfId="0" applyBorder="1" applyAlignment="1">
      <alignment horizontal="center" vertical="center"/>
    </xf>
    <xf numFmtId="0" fontId="0" fillId="0" borderId="11" xfId="0" applyBorder="1" applyAlignment="1">
      <alignment horizontal="center" vertical="center"/>
    </xf>
    <xf numFmtId="0" fontId="0" fillId="0" borderId="28" xfId="0" applyBorder="1" applyAlignment="1">
      <alignment horizontal="center" vertical="center"/>
    </xf>
    <xf numFmtId="0" fontId="14" fillId="5" borderId="38"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0" fillId="12" borderId="0" xfId="0" applyFill="1" applyAlignment="1">
      <alignment horizontal="center" wrapText="1"/>
    </xf>
    <xf numFmtId="0" fontId="20" fillId="5" borderId="11" xfId="0" applyFont="1" applyFill="1" applyBorder="1" applyAlignment="1">
      <alignment horizontal="center" vertical="center"/>
    </xf>
    <xf numFmtId="0" fontId="20" fillId="5" borderId="39" xfId="0" applyFont="1" applyFill="1" applyBorder="1" applyAlignment="1">
      <alignment horizontal="center" vertical="center"/>
    </xf>
    <xf numFmtId="0" fontId="20" fillId="5" borderId="25" xfId="0" applyFont="1" applyFill="1" applyBorder="1" applyAlignment="1">
      <alignment horizontal="center" vertical="center"/>
    </xf>
    <xf numFmtId="0" fontId="14" fillId="5" borderId="76" xfId="0" applyFont="1" applyFill="1" applyBorder="1" applyAlignment="1">
      <alignment horizontal="center" vertical="center" wrapText="1"/>
    </xf>
    <xf numFmtId="0" fontId="14" fillId="5" borderId="58" xfId="0" applyFont="1" applyFill="1" applyBorder="1" applyAlignment="1">
      <alignment horizontal="center" vertical="center" wrapText="1"/>
    </xf>
    <xf numFmtId="165" fontId="0" fillId="24" borderId="14" xfId="0" applyNumberFormat="1" applyFill="1" applyBorder="1" applyAlignment="1">
      <alignment horizontal="center" vertical="center" wrapText="1"/>
    </xf>
    <xf numFmtId="165" fontId="0" fillId="24" borderId="13" xfId="0" applyNumberFormat="1" applyFill="1" applyBorder="1" applyAlignment="1">
      <alignment horizontal="center" vertical="center" wrapText="1"/>
    </xf>
    <xf numFmtId="165" fontId="0" fillId="24" borderId="11" xfId="0" applyNumberFormat="1" applyFill="1" applyBorder="1" applyAlignment="1">
      <alignment horizontal="center" vertical="center" wrapText="1"/>
    </xf>
    <xf numFmtId="0" fontId="0" fillId="2" borderId="39" xfId="0" applyFill="1" applyBorder="1" applyAlignment="1">
      <alignment horizontal="center" vertical="center" wrapText="1"/>
    </xf>
    <xf numFmtId="0" fontId="0" fillId="2" borderId="25" xfId="0" applyFill="1" applyBorder="1" applyAlignment="1">
      <alignment horizontal="center" vertical="center" wrapText="1"/>
    </xf>
    <xf numFmtId="165" fontId="0" fillId="24" borderId="29" xfId="0" applyNumberFormat="1" applyFill="1" applyBorder="1" applyAlignment="1">
      <alignment horizontal="center" vertical="center" wrapText="1"/>
    </xf>
    <xf numFmtId="165" fontId="0" fillId="24" borderId="18" xfId="0" applyNumberFormat="1" applyFill="1" applyBorder="1" applyAlignment="1">
      <alignment horizontal="center" vertical="center" wrapText="1"/>
    </xf>
    <xf numFmtId="165" fontId="0" fillId="24" borderId="28" xfId="0" applyNumberFormat="1" applyFill="1" applyBorder="1" applyAlignment="1">
      <alignment horizontal="center" vertical="center" wrapText="1"/>
    </xf>
    <xf numFmtId="0" fontId="14" fillId="5" borderId="52"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27" xfId="0" applyFont="1" applyFill="1" applyBorder="1" applyAlignment="1">
      <alignment horizontal="center" vertical="center" wrapText="1"/>
    </xf>
    <xf numFmtId="0" fontId="14" fillId="5" borderId="53"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 fillId="12" borderId="0" xfId="0" applyFont="1" applyFill="1" applyAlignment="1">
      <alignment horizontal="center" wrapText="1"/>
    </xf>
    <xf numFmtId="165" fontId="0" fillId="24" borderId="34" xfId="0" applyNumberFormat="1" applyFill="1" applyBorder="1" applyAlignment="1">
      <alignment horizontal="center" vertical="center" wrapText="1"/>
    </xf>
    <xf numFmtId="165" fontId="0" fillId="24" borderId="26" xfId="0" applyNumberFormat="1" applyFill="1" applyBorder="1" applyAlignment="1">
      <alignment horizontal="center" vertical="center" wrapText="1"/>
    </xf>
    <xf numFmtId="165" fontId="0" fillId="24" borderId="25" xfId="0" applyNumberFormat="1" applyFill="1" applyBorder="1" applyAlignment="1">
      <alignment horizontal="center" vertical="center" wrapText="1"/>
    </xf>
    <xf numFmtId="0" fontId="12" fillId="5" borderId="16"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5" xfId="0" applyFont="1" applyFill="1" applyBorder="1" applyAlignment="1">
      <alignment horizontal="center" vertical="center" wrapText="1"/>
    </xf>
    <xf numFmtId="0" fontId="0" fillId="0" borderId="41" xfId="0" applyBorder="1" applyAlignment="1" applyProtection="1">
      <alignment horizontal="center" vertical="center" wrapText="1"/>
      <protection locked="0"/>
    </xf>
    <xf numFmtId="0" fontId="0" fillId="0" borderId="63" xfId="0"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12" fillId="5" borderId="14" xfId="0" applyFont="1" applyFill="1" applyBorder="1" applyAlignment="1">
      <alignment horizontal="center" vertical="center" wrapText="1"/>
    </xf>
    <xf numFmtId="0" fontId="14" fillId="5" borderId="29"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4" fillId="7" borderId="9" xfId="0" applyFont="1" applyFill="1" applyBorder="1" applyAlignment="1">
      <alignment horizontal="center" vertical="center"/>
    </xf>
    <xf numFmtId="165" fontId="0" fillId="24" borderId="19" xfId="0" applyNumberFormat="1" applyFill="1" applyBorder="1" applyAlignment="1">
      <alignment horizontal="center" vertical="center" wrapText="1"/>
    </xf>
    <xf numFmtId="0" fontId="14" fillId="5" borderId="57"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2" fillId="5" borderId="10" xfId="0" applyFont="1" applyFill="1" applyBorder="1" applyAlignment="1">
      <alignment horizontal="center" vertical="center" wrapText="1"/>
    </xf>
    <xf numFmtId="165" fontId="0" fillId="24" borderId="1" xfId="0" applyNumberFormat="1" applyFill="1" applyBorder="1" applyAlignment="1">
      <alignment horizontal="center" vertical="center" wrapText="1"/>
    </xf>
    <xf numFmtId="165" fontId="0" fillId="24" borderId="24" xfId="0" applyNumberFormat="1" applyFill="1" applyBorder="1" applyAlignment="1">
      <alignment horizontal="center" vertical="center" wrapText="1"/>
    </xf>
    <xf numFmtId="0" fontId="12" fillId="5" borderId="61"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0" fillId="2" borderId="13" xfId="0" applyFill="1" applyBorder="1" applyAlignment="1">
      <alignment horizontal="center" vertical="center" wrapText="1"/>
    </xf>
    <xf numFmtId="0" fontId="0" fillId="2" borderId="11" xfId="0" applyFill="1" applyBorder="1" applyAlignment="1">
      <alignment horizontal="center" vertical="center" wrapText="1"/>
    </xf>
    <xf numFmtId="0" fontId="0" fillId="7" borderId="2" xfId="0" applyFill="1" applyBorder="1" applyAlignment="1">
      <alignment horizontal="center" vertical="center" wrapText="1"/>
    </xf>
    <xf numFmtId="0" fontId="4" fillId="7" borderId="3" xfId="0" applyFont="1" applyFill="1" applyBorder="1" applyAlignment="1">
      <alignment horizontal="center" vertical="center"/>
    </xf>
    <xf numFmtId="0" fontId="0" fillId="2" borderId="18" xfId="0" applyFill="1" applyBorder="1" applyAlignment="1">
      <alignment horizontal="center" vertical="center" wrapText="1"/>
    </xf>
    <xf numFmtId="0" fontId="0" fillId="2" borderId="28" xfId="0" applyFill="1" applyBorder="1" applyAlignment="1">
      <alignment horizontal="center" vertical="center" wrapText="1"/>
    </xf>
    <xf numFmtId="0" fontId="0" fillId="0" borderId="17" xfId="0"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14" fillId="5" borderId="18"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4" fillId="12" borderId="0" xfId="0" applyFont="1" applyFill="1" applyAlignment="1">
      <alignment horizontal="center" vertical="center" wrapText="1"/>
    </xf>
    <xf numFmtId="0" fontId="14" fillId="5" borderId="26" xfId="0" applyFont="1" applyFill="1" applyBorder="1" applyAlignment="1">
      <alignment horizontal="center" vertical="center" wrapText="1"/>
    </xf>
    <xf numFmtId="0" fontId="14" fillId="5" borderId="25" xfId="0" applyFont="1" applyFill="1" applyBorder="1" applyAlignment="1">
      <alignment horizontal="center" vertical="center" wrapText="1"/>
    </xf>
    <xf numFmtId="0" fontId="12" fillId="5" borderId="25" xfId="0" applyFont="1" applyFill="1" applyBorder="1" applyAlignment="1">
      <alignment horizontal="center" vertical="center" wrapText="1"/>
    </xf>
    <xf numFmtId="0" fontId="20" fillId="22" borderId="14" xfId="0" applyFont="1" applyFill="1" applyBorder="1" applyAlignment="1">
      <alignment horizontal="center"/>
    </xf>
    <xf numFmtId="0" fontId="20" fillId="22" borderId="26" xfId="0" applyFont="1" applyFill="1" applyBorder="1" applyAlignment="1">
      <alignment horizontal="center"/>
    </xf>
    <xf numFmtId="0" fontId="10" fillId="3" borderId="0" xfId="0" applyFont="1" applyFill="1" applyAlignment="1">
      <alignment horizontal="center" vertical="center" textRotation="90"/>
    </xf>
    <xf numFmtId="0" fontId="5" fillId="12" borderId="0" xfId="0" applyFont="1" applyFill="1" applyAlignment="1">
      <alignment horizontal="center" vertical="center" wrapText="1"/>
    </xf>
    <xf numFmtId="0" fontId="5" fillId="12" borderId="0" xfId="0" applyFont="1" applyFill="1" applyAlignment="1">
      <alignment horizontal="center" vertical="center"/>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4" borderId="29" xfId="0" applyFill="1" applyBorder="1" applyAlignment="1" applyProtection="1">
      <alignment horizontal="left" vertical="top" wrapText="1"/>
      <protection locked="0"/>
    </xf>
    <xf numFmtId="0" fontId="0" fillId="4" borderId="14" xfId="0" applyFill="1" applyBorder="1" applyAlignment="1" applyProtection="1">
      <alignment horizontal="left" vertical="top" wrapText="1"/>
      <protection locked="0"/>
    </xf>
    <xf numFmtId="0" fontId="0" fillId="4" borderId="19" xfId="0" applyFill="1" applyBorder="1" applyAlignment="1" applyProtection="1">
      <alignment horizontal="left" vertical="top" wrapText="1"/>
      <protection locked="0"/>
    </xf>
    <xf numFmtId="0" fontId="0" fillId="0" borderId="16" xfId="0" applyBorder="1" applyAlignment="1" applyProtection="1">
      <alignment horizontal="center" vertical="center" wrapText="1"/>
      <protection locked="0"/>
    </xf>
    <xf numFmtId="0" fontId="0" fillId="4" borderId="16" xfId="0" applyFill="1" applyBorder="1" applyAlignment="1" applyProtection="1">
      <alignment horizontal="left" vertical="top" wrapText="1"/>
      <protection locked="0"/>
    </xf>
    <xf numFmtId="0" fontId="0" fillId="0" borderId="18" xfId="0" applyBorder="1" applyAlignment="1">
      <alignment horizontal="center" vertical="center" wrapText="1"/>
    </xf>
    <xf numFmtId="165" fontId="0" fillId="0" borderId="18" xfId="0" applyNumberFormat="1" applyBorder="1" applyAlignment="1">
      <alignment horizontal="center" vertical="center"/>
    </xf>
    <xf numFmtId="0" fontId="0" fillId="3" borderId="0" xfId="0" applyFill="1"/>
    <xf numFmtId="0" fontId="0" fillId="0" borderId="29"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17" fontId="0" fillId="0" borderId="18" xfId="0" applyNumberFormat="1" applyBorder="1" applyAlignment="1">
      <alignment horizontal="center" vertical="center" wrapText="1"/>
    </xf>
    <xf numFmtId="0" fontId="0" fillId="0" borderId="18" xfId="0" applyBorder="1"/>
    <xf numFmtId="0" fontId="0" fillId="0" borderId="0" xfId="0" applyAlignment="1">
      <alignment horizontal="center" vertical="center"/>
    </xf>
    <xf numFmtId="0" fontId="0" fillId="0" borderId="18" xfId="0" applyBorder="1" applyAlignment="1">
      <alignment wrapText="1"/>
    </xf>
    <xf numFmtId="0" fontId="0" fillId="0" borderId="0" xfId="0" applyAlignment="1">
      <alignment horizontal="center" vertical="center" wrapText="1"/>
    </xf>
    <xf numFmtId="0" fontId="0" fillId="0" borderId="18" xfId="0" applyBorder="1" applyAlignment="1">
      <alignment horizontal="center" vertical="top" wrapText="1"/>
    </xf>
    <xf numFmtId="0" fontId="0" fillId="0" borderId="15" xfId="0" applyBorder="1" applyAlignment="1" applyProtection="1">
      <alignment horizontal="center" vertical="center" wrapText="1"/>
      <protection locked="0"/>
    </xf>
    <xf numFmtId="0" fontId="4" fillId="0" borderId="18" xfId="0" applyFont="1" applyBorder="1" applyAlignment="1">
      <alignment horizontal="center" vertical="center"/>
    </xf>
    <xf numFmtId="164" fontId="4" fillId="0" borderId="18" xfId="0" applyNumberFormat="1" applyFont="1" applyBorder="1" applyAlignment="1">
      <alignment horizontal="center" vertical="center"/>
    </xf>
    <xf numFmtId="0" fontId="0" fillId="12" borderId="0" xfId="0" applyFill="1"/>
    <xf numFmtId="0" fontId="1" fillId="12" borderId="0" xfId="0" applyFont="1" applyFill="1"/>
    <xf numFmtId="0" fontId="17" fillId="12" borderId="0" xfId="0" applyFont="1" applyFill="1"/>
    <xf numFmtId="2" fontId="0" fillId="12" borderId="0" xfId="0" applyNumberFormat="1" applyFill="1" applyAlignment="1">
      <alignment vertical="center"/>
    </xf>
    <xf numFmtId="0" fontId="0" fillId="12" borderId="0" xfId="0" applyFill="1" applyAlignment="1">
      <alignment vertical="center"/>
    </xf>
    <xf numFmtId="0" fontId="0" fillId="12" borderId="0" xfId="0" applyFill="1" applyAlignment="1">
      <alignment wrapText="1"/>
    </xf>
    <xf numFmtId="0" fontId="20" fillId="5" borderId="11" xfId="0" applyFont="1" applyFill="1" applyBorder="1" applyAlignment="1">
      <alignment horizontal="center" vertical="center" wrapText="1"/>
    </xf>
    <xf numFmtId="0" fontId="20" fillId="5" borderId="25" xfId="0" applyFont="1" applyFill="1" applyBorder="1" applyAlignment="1">
      <alignment horizontal="center" vertical="center" wrapText="1"/>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5" fillId="12" borderId="0" xfId="0" applyFont="1" applyFill="1" applyAlignment="1">
      <alignment vertical="center"/>
    </xf>
    <xf numFmtId="0" fontId="20" fillId="5" borderId="28" xfId="0" applyFont="1" applyFill="1" applyBorder="1" applyAlignment="1">
      <alignment horizontal="center" vertical="center" wrapText="1"/>
    </xf>
    <xf numFmtId="0" fontId="5" fillId="12" borderId="0" xfId="0" applyFont="1" applyFill="1" applyAlignment="1">
      <alignment horizontal="left" vertical="center"/>
    </xf>
    <xf numFmtId="0" fontId="0" fillId="12" borderId="0" xfId="0" applyFill="1" applyAlignment="1">
      <alignment horizontal="center" vertical="center"/>
    </xf>
    <xf numFmtId="0" fontId="0" fillId="12" borderId="0" xfId="0" applyFill="1" applyAlignment="1">
      <alignment horizontal="center" vertical="center" wrapText="1"/>
    </xf>
    <xf numFmtId="0" fontId="14" fillId="5" borderId="18" xfId="0" applyFont="1" applyFill="1" applyBorder="1" applyAlignment="1">
      <alignment horizontal="center" vertical="center"/>
    </xf>
    <xf numFmtId="2" fontId="11" fillId="7" borderId="39" xfId="0" applyNumberFormat="1" applyFont="1" applyFill="1" applyBorder="1" applyAlignment="1">
      <alignment vertical="center" wrapText="1"/>
    </xf>
    <xf numFmtId="0" fontId="24" fillId="12" borderId="0" xfId="0" applyFont="1" applyFill="1" applyAlignment="1">
      <alignment vertical="center" wrapText="1"/>
    </xf>
    <xf numFmtId="0" fontId="24" fillId="12" borderId="0" xfId="0" applyFont="1" applyFill="1" applyAlignment="1">
      <alignment vertical="center"/>
    </xf>
    <xf numFmtId="0" fontId="6" fillId="12" borderId="0" xfId="0" applyFont="1" applyFill="1" applyAlignment="1">
      <alignment vertical="center"/>
    </xf>
    <xf numFmtId="0" fontId="0" fillId="0" borderId="0" xfId="0" applyAlignment="1">
      <alignment vertical="center"/>
    </xf>
    <xf numFmtId="0" fontId="34" fillId="12" borderId="0" xfId="0" applyFont="1" applyFill="1" applyAlignment="1">
      <alignment vertical="center"/>
    </xf>
    <xf numFmtId="0" fontId="34" fillId="12" borderId="0" xfId="0" applyFont="1" applyFill="1"/>
    <xf numFmtId="0" fontId="0" fillId="15" borderId="0" xfId="0" applyFill="1"/>
    <xf numFmtId="0" fontId="35" fillId="12" borderId="0" xfId="0" applyFont="1" applyFill="1"/>
    <xf numFmtId="0" fontId="36" fillId="12" borderId="0" xfId="0" applyFont="1" applyFill="1"/>
    <xf numFmtId="0" fontId="0" fillId="0" borderId="28" xfId="0" applyBorder="1" applyAlignment="1" applyProtection="1">
      <alignment horizontal="center" vertical="center" wrapText="1"/>
      <protection locked="0"/>
    </xf>
    <xf numFmtId="0" fontId="2" fillId="9" borderId="18" xfId="0" applyFont="1" applyFill="1" applyBorder="1" applyAlignment="1">
      <alignment horizontal="center" vertical="center" wrapText="1"/>
    </xf>
    <xf numFmtId="0" fontId="2" fillId="10" borderId="28" xfId="0" applyFont="1" applyFill="1" applyBorder="1" applyAlignment="1">
      <alignment horizontal="center" vertical="center" wrapText="1"/>
    </xf>
    <xf numFmtId="0" fontId="0" fillId="0" borderId="41" xfId="0" applyBorder="1"/>
    <xf numFmtId="0" fontId="14" fillId="5" borderId="17" xfId="0" applyFont="1" applyFill="1" applyBorder="1" applyAlignment="1">
      <alignment horizontal="center" vertical="center"/>
    </xf>
    <xf numFmtId="0" fontId="0" fillId="0" borderId="64" xfId="0" applyBorder="1"/>
    <xf numFmtId="0" fontId="0" fillId="4" borderId="23" xfId="0" applyFill="1" applyBorder="1" applyAlignment="1" applyProtection="1">
      <alignment horizontal="left" vertical="top" wrapText="1"/>
      <protection locked="0"/>
    </xf>
    <xf numFmtId="0" fontId="0" fillId="4" borderId="38" xfId="0" applyFill="1" applyBorder="1" applyAlignment="1" applyProtection="1">
      <alignment horizontal="left" vertical="top" wrapText="1"/>
      <protection locked="0"/>
    </xf>
    <xf numFmtId="0" fontId="0" fillId="4" borderId="60" xfId="0" applyFill="1" applyBorder="1" applyAlignment="1" applyProtection="1">
      <alignment horizontal="left" vertical="top" wrapText="1"/>
      <protection locked="0"/>
    </xf>
    <xf numFmtId="0" fontId="0" fillId="4" borderId="12" xfId="0" applyFill="1" applyBorder="1" applyAlignment="1" applyProtection="1">
      <alignment horizontal="left" vertical="top" wrapText="1"/>
      <protection locked="0"/>
    </xf>
    <xf numFmtId="0" fontId="0" fillId="0" borderId="38"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4" borderId="20" xfId="0" applyFill="1" applyBorder="1" applyAlignment="1" applyProtection="1">
      <alignment horizontal="center" vertical="center" wrapText="1"/>
      <protection locked="0"/>
    </xf>
    <xf numFmtId="0" fontId="0" fillId="4" borderId="28" xfId="0" applyFill="1" applyBorder="1" applyAlignment="1" applyProtection="1">
      <alignment horizontal="center" vertical="center" wrapText="1"/>
      <protection locked="0"/>
    </xf>
    <xf numFmtId="0" fontId="0" fillId="4" borderId="15" xfId="0" applyFill="1" applyBorder="1"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20" fillId="5" borderId="5" xfId="0" applyFont="1" applyFill="1" applyBorder="1" applyAlignment="1">
      <alignment horizontal="center"/>
    </xf>
    <xf numFmtId="0" fontId="32" fillId="12" borderId="0" xfId="0" applyFont="1" applyFill="1" applyAlignment="1">
      <alignment vertical="center" wrapText="1"/>
    </xf>
    <xf numFmtId="0" fontId="20" fillId="5" borderId="47" xfId="0" applyFont="1" applyFill="1" applyBorder="1" applyAlignment="1">
      <alignment horizontal="center"/>
    </xf>
    <xf numFmtId="0" fontId="12" fillId="5" borderId="28" xfId="0" applyFont="1" applyFill="1" applyBorder="1" applyAlignment="1">
      <alignment horizontal="center" vertical="center" wrapText="1"/>
    </xf>
    <xf numFmtId="0" fontId="32" fillId="12" borderId="0" xfId="0" applyFont="1" applyFill="1" applyAlignment="1">
      <alignment horizontal="center" vertical="center" wrapText="1"/>
    </xf>
    <xf numFmtId="0" fontId="12" fillId="5" borderId="11" xfId="0" applyFont="1" applyFill="1" applyBorder="1" applyAlignment="1">
      <alignment horizontal="center" vertical="center" wrapText="1"/>
    </xf>
    <xf numFmtId="0" fontId="26" fillId="12" borderId="0" xfId="0" applyFont="1" applyFill="1" applyAlignment="1">
      <alignment horizontal="center" vertical="center" wrapText="1"/>
    </xf>
    <xf numFmtId="0" fontId="2" fillId="12" borderId="0" xfId="0" applyFont="1" applyFill="1"/>
    <xf numFmtId="0" fontId="1" fillId="12" borderId="0" xfId="0" applyFont="1" applyFill="1" applyAlignment="1">
      <alignment wrapText="1"/>
    </xf>
    <xf numFmtId="0" fontId="0" fillId="2" borderId="29" xfId="0" applyFill="1" applyBorder="1" applyAlignment="1">
      <alignment horizontal="center" vertical="center" wrapText="1"/>
    </xf>
    <xf numFmtId="2" fontId="0" fillId="2" borderId="29" xfId="0" applyNumberFormat="1" applyFill="1" applyBorder="1" applyAlignment="1">
      <alignment horizontal="center" vertical="center" wrapText="1"/>
    </xf>
    <xf numFmtId="0" fontId="0" fillId="7" borderId="8" xfId="0" applyFill="1" applyBorder="1" applyAlignment="1">
      <alignment horizontal="center" vertical="center" wrapText="1"/>
    </xf>
    <xf numFmtId="0" fontId="0" fillId="2" borderId="14" xfId="0" applyFill="1" applyBorder="1" applyAlignment="1">
      <alignment horizontal="center" vertical="center" wrapText="1"/>
    </xf>
    <xf numFmtId="2" fontId="0" fillId="2" borderId="13" xfId="0" applyNumberFormat="1" applyFill="1" applyBorder="1" applyAlignment="1">
      <alignment horizontal="center" vertical="center" wrapText="1"/>
    </xf>
    <xf numFmtId="2" fontId="0" fillId="2" borderId="14" xfId="0" applyNumberFormat="1" applyFill="1" applyBorder="1" applyAlignment="1">
      <alignment horizontal="center" vertical="center" wrapText="1"/>
    </xf>
    <xf numFmtId="0" fontId="4" fillId="18" borderId="46" xfId="0" applyFont="1" applyFill="1" applyBorder="1" applyAlignment="1">
      <alignment horizontal="center" vertical="center"/>
    </xf>
    <xf numFmtId="1" fontId="0" fillId="12" borderId="0" xfId="0" applyNumberFormat="1" applyFill="1"/>
    <xf numFmtId="164" fontId="0" fillId="2" borderId="29" xfId="0" applyNumberFormat="1" applyFill="1" applyBorder="1" applyAlignment="1">
      <alignment horizontal="center" vertical="center" wrapText="1"/>
    </xf>
    <xf numFmtId="164" fontId="0" fillId="2" borderId="14" xfId="0" applyNumberFormat="1" applyFill="1" applyBorder="1" applyAlignment="1">
      <alignment horizontal="center" vertical="center" wrapText="1"/>
    </xf>
    <xf numFmtId="0" fontId="0" fillId="2" borderId="21"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3" xfId="0" applyFill="1" applyBorder="1" applyAlignment="1">
      <alignment horizontal="center" vertical="center" wrapText="1"/>
    </xf>
    <xf numFmtId="164" fontId="0" fillId="2" borderId="19" xfId="0" applyNumberFormat="1" applyFill="1" applyBorder="1" applyAlignment="1">
      <alignment horizontal="center" vertical="center" wrapText="1"/>
    </xf>
    <xf numFmtId="0" fontId="0" fillId="7" borderId="28" xfId="0" applyFill="1" applyBorder="1" applyAlignment="1">
      <alignment horizontal="center" vertical="center" wrapText="1"/>
    </xf>
    <xf numFmtId="0" fontId="20" fillId="5" borderId="26" xfId="0" applyFont="1" applyFill="1" applyBorder="1" applyAlignment="1">
      <alignment horizontal="center" vertical="center" wrapText="1"/>
    </xf>
    <xf numFmtId="0" fontId="23" fillId="7" borderId="18" xfId="0" applyFont="1" applyFill="1" applyBorder="1" applyAlignment="1">
      <alignment horizontal="center" vertical="center" wrapText="1"/>
    </xf>
    <xf numFmtId="165" fontId="23" fillId="7" borderId="18" xfId="0" applyNumberFormat="1" applyFont="1" applyFill="1" applyBorder="1" applyAlignment="1">
      <alignment horizontal="center" vertical="center" wrapText="1"/>
    </xf>
    <xf numFmtId="165" fontId="23" fillId="7" borderId="29" xfId="0" applyNumberFormat="1" applyFont="1" applyFill="1" applyBorder="1" applyAlignment="1">
      <alignment horizontal="center" vertical="center" wrapText="1"/>
    </xf>
    <xf numFmtId="0" fontId="23" fillId="7" borderId="18" xfId="0" applyFont="1" applyFill="1" applyBorder="1" applyAlignment="1">
      <alignment horizontal="center" vertical="center"/>
    </xf>
    <xf numFmtId="165" fontId="23" fillId="7" borderId="29" xfId="0" applyNumberFormat="1" applyFont="1" applyFill="1" applyBorder="1" applyAlignment="1">
      <alignment horizontal="center" wrapText="1"/>
    </xf>
    <xf numFmtId="0" fontId="20" fillId="5" borderId="51" xfId="0" applyFont="1" applyFill="1" applyBorder="1" applyAlignment="1">
      <alignment horizontal="center" vertical="center" wrapText="1"/>
    </xf>
    <xf numFmtId="0" fontId="20" fillId="5" borderId="52" xfId="0" applyFont="1" applyFill="1" applyBorder="1" applyAlignment="1">
      <alignment horizontal="center" vertical="center" wrapText="1"/>
    </xf>
    <xf numFmtId="0" fontId="17" fillId="12" borderId="0" xfId="0" applyFont="1" applyFill="1" applyAlignment="1">
      <alignment vertical="center" wrapText="1"/>
    </xf>
    <xf numFmtId="0" fontId="5" fillId="11" borderId="18" xfId="0" applyFont="1" applyFill="1" applyBorder="1" applyAlignment="1">
      <alignment horizontal="center"/>
    </xf>
    <xf numFmtId="0" fontId="2" fillId="11" borderId="18" xfId="0" applyFont="1" applyFill="1" applyBorder="1" applyAlignment="1">
      <alignment horizontal="center" vertical="center" wrapText="1"/>
    </xf>
    <xf numFmtId="0" fontId="37" fillId="0" borderId="64" xfId="0" applyFont="1" applyBorder="1" applyAlignment="1">
      <alignment wrapText="1"/>
    </xf>
    <xf numFmtId="0" fontId="1" fillId="12" borderId="0" xfId="0" applyFont="1" applyFill="1" applyAlignment="1">
      <alignment vertical="center" wrapText="1"/>
    </xf>
    <xf numFmtId="164" fontId="0" fillId="2" borderId="17" xfId="0" applyNumberFormat="1" applyFill="1" applyBorder="1" applyAlignment="1">
      <alignment horizontal="center" vertical="center" wrapText="1"/>
    </xf>
    <xf numFmtId="0" fontId="4" fillId="0" borderId="77" xfId="0" applyFont="1" applyBorder="1" applyAlignment="1" applyProtection="1">
      <alignment horizontal="center" vertical="center" wrapText="1"/>
      <protection locked="0"/>
    </xf>
    <xf numFmtId="0" fontId="4" fillId="18" borderId="36" xfId="0" applyFont="1" applyFill="1" applyBorder="1" applyAlignment="1">
      <alignment horizontal="center" vertical="center"/>
    </xf>
    <xf numFmtId="0" fontId="0" fillId="0" borderId="42" xfId="0" applyBorder="1" applyAlignment="1" applyProtection="1">
      <alignment horizontal="center" vertical="center" wrapText="1"/>
      <protection locked="0"/>
    </xf>
    <xf numFmtId="0" fontId="0" fillId="7" borderId="11" xfId="0" applyFill="1" applyBorder="1" applyAlignment="1">
      <alignment horizontal="center" vertical="center" wrapText="1"/>
    </xf>
    <xf numFmtId="0" fontId="0" fillId="20" borderId="20" xfId="0" applyFill="1" applyBorder="1" applyAlignment="1" applyProtection="1">
      <alignment horizontal="center" vertical="center" wrapText="1"/>
      <protection locked="0"/>
    </xf>
    <xf numFmtId="0" fontId="0" fillId="20" borderId="25" xfId="0" applyFill="1" applyBorder="1" applyAlignment="1" applyProtection="1">
      <alignment horizontal="center" vertical="center" wrapText="1"/>
      <protection locked="0"/>
    </xf>
    <xf numFmtId="0" fontId="4" fillId="18" borderId="6" xfId="0" applyFont="1" applyFill="1" applyBorder="1" applyAlignment="1">
      <alignment horizontal="center" vertical="center"/>
    </xf>
    <xf numFmtId="0" fontId="0" fillId="0" borderId="26" xfId="0" applyBorder="1" applyAlignment="1" applyProtection="1">
      <alignment horizontal="center" vertical="center" wrapText="1"/>
      <protection locked="0"/>
    </xf>
    <xf numFmtId="0" fontId="0" fillId="20" borderId="76" xfId="0" applyFill="1" applyBorder="1" applyAlignment="1" applyProtection="1">
      <alignment horizontal="center" vertical="center" wrapText="1"/>
      <protection locked="0"/>
    </xf>
    <xf numFmtId="0" fontId="0" fillId="4" borderId="67" xfId="0" applyFill="1" applyBorder="1" applyAlignment="1" applyProtection="1">
      <alignment horizontal="left" vertical="top" wrapText="1"/>
      <protection locked="0"/>
    </xf>
    <xf numFmtId="0" fontId="0" fillId="4" borderId="26" xfId="0" applyFill="1" applyBorder="1" applyAlignment="1" applyProtection="1">
      <alignment horizontal="left" vertical="top" wrapText="1"/>
      <protection locked="0"/>
    </xf>
    <xf numFmtId="0" fontId="8" fillId="12" borderId="0" xfId="0" applyFont="1" applyFill="1" applyAlignment="1">
      <alignment horizontal="left"/>
    </xf>
    <xf numFmtId="0" fontId="0" fillId="12" borderId="0" xfId="0" applyFill="1" applyAlignment="1">
      <alignment horizontal="center"/>
    </xf>
    <xf numFmtId="0" fontId="21" fillId="5" borderId="5" xfId="0" applyFont="1" applyFill="1" applyBorder="1" applyAlignment="1">
      <alignment horizontal="center" vertical="center" wrapText="1"/>
    </xf>
    <xf numFmtId="0" fontId="21" fillId="5" borderId="45" xfId="0" applyFont="1" applyFill="1" applyBorder="1" applyAlignment="1">
      <alignment horizontal="center" vertical="center" wrapText="1"/>
    </xf>
    <xf numFmtId="0" fontId="21" fillId="5" borderId="47" xfId="0" applyFont="1" applyFill="1" applyBorder="1" applyAlignment="1">
      <alignment horizontal="center" vertical="center" wrapText="1"/>
    </xf>
    <xf numFmtId="0" fontId="17" fillId="0" borderId="39" xfId="0" applyFont="1" applyBorder="1" applyAlignment="1" applyProtection="1">
      <alignment horizontal="center" vertical="center"/>
      <protection locked="0"/>
    </xf>
    <xf numFmtId="0" fontId="17" fillId="0" borderId="18" xfId="0" applyFont="1" applyBorder="1" applyAlignment="1" applyProtection="1">
      <alignment horizontal="center" vertical="center"/>
      <protection locked="0"/>
    </xf>
    <xf numFmtId="0" fontId="17" fillId="0" borderId="13" xfId="0" applyFont="1" applyBorder="1" applyAlignment="1" applyProtection="1">
      <alignment horizontal="center" vertical="center"/>
      <protection locked="0"/>
    </xf>
    <xf numFmtId="1" fontId="0" fillId="0" borderId="20" xfId="0" applyNumberFormat="1" applyBorder="1" applyAlignment="1" applyProtection="1">
      <alignment horizontal="center" vertical="center" wrapText="1"/>
      <protection locked="0"/>
    </xf>
    <xf numFmtId="164" fontId="23" fillId="7" borderId="18" xfId="0" applyNumberFormat="1" applyFont="1" applyFill="1" applyBorder="1" applyAlignment="1">
      <alignment horizontal="center" vertical="center" wrapText="1"/>
    </xf>
    <xf numFmtId="0" fontId="38" fillId="12" borderId="0" xfId="0" applyFont="1" applyFill="1"/>
    <xf numFmtId="166" fontId="38" fillId="12" borderId="0" xfId="0" applyNumberFormat="1" applyFont="1" applyFill="1"/>
    <xf numFmtId="0" fontId="1" fillId="12" borderId="0" xfId="0" applyFont="1" applyFill="1" applyAlignment="1">
      <alignment vertical="center"/>
    </xf>
    <xf numFmtId="0" fontId="20" fillId="5" borderId="8" xfId="0" applyFont="1" applyFill="1" applyBorder="1" applyAlignment="1">
      <alignment horizontal="center" vertical="center" wrapText="1"/>
    </xf>
    <xf numFmtId="14" fontId="17" fillId="0" borderId="18" xfId="0" applyNumberFormat="1" applyFont="1" applyBorder="1" applyAlignment="1" applyProtection="1">
      <alignment horizontal="center" vertical="center"/>
      <protection locked="0"/>
    </xf>
    <xf numFmtId="0" fontId="0" fillId="7" borderId="49" xfId="0" applyFill="1" applyBorder="1" applyAlignment="1">
      <alignment horizontal="center" vertical="center" wrapText="1"/>
    </xf>
    <xf numFmtId="0" fontId="0" fillId="7" borderId="50" xfId="0" applyFill="1" applyBorder="1" applyAlignment="1">
      <alignment horizontal="center" vertical="center" wrapText="1"/>
    </xf>
    <xf numFmtId="0" fontId="5" fillId="12" borderId="0" xfId="0" applyFont="1" applyFill="1"/>
    <xf numFmtId="0" fontId="0" fillId="18" borderId="28" xfId="0" applyFill="1" applyBorder="1" applyAlignment="1">
      <alignment horizontal="center" vertical="center" wrapText="1"/>
    </xf>
    <xf numFmtId="0" fontId="0" fillId="18" borderId="11" xfId="0" applyFill="1" applyBorder="1" applyAlignment="1">
      <alignment horizontal="center" vertical="center" wrapText="1"/>
    </xf>
    <xf numFmtId="0" fontId="12" fillId="5" borderId="18"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40" xfId="0" applyFill="1" applyBorder="1" applyAlignment="1">
      <alignment horizontal="center" vertical="center" wrapText="1"/>
    </xf>
    <xf numFmtId="164" fontId="0" fillId="2" borderId="9" xfId="0" applyNumberFormat="1" applyFill="1" applyBorder="1" applyAlignment="1">
      <alignment horizontal="center" vertical="center" wrapText="1"/>
    </xf>
    <xf numFmtId="0" fontId="14" fillId="5" borderId="7" xfId="0" applyFont="1" applyFill="1" applyBorder="1" applyAlignment="1">
      <alignment horizontal="center" vertical="center" wrapText="1"/>
    </xf>
    <xf numFmtId="0" fontId="0" fillId="2" borderId="22"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2" xfId="0"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38" xfId="0" applyFont="1" applyFill="1" applyBorder="1" applyAlignment="1">
      <alignment horizontal="center" vertical="center" wrapText="1"/>
    </xf>
    <xf numFmtId="0" fontId="0" fillId="2" borderId="38" xfId="0" applyFill="1" applyBorder="1" applyAlignment="1">
      <alignment horizontal="center" vertical="center" wrapText="1"/>
    </xf>
    <xf numFmtId="0" fontId="0" fillId="2" borderId="39" xfId="0" applyFill="1" applyBorder="1" applyAlignment="1">
      <alignment horizontal="center" vertical="center"/>
    </xf>
    <xf numFmtId="0" fontId="0" fillId="7" borderId="13" xfId="0" applyFill="1" applyBorder="1" applyAlignment="1">
      <alignment horizontal="center" vertical="center" wrapText="1"/>
    </xf>
    <xf numFmtId="0" fontId="20" fillId="5" borderId="78" xfId="0" applyFont="1" applyFill="1" applyBorder="1" applyAlignment="1">
      <alignment vertical="center"/>
    </xf>
    <xf numFmtId="0" fontId="20" fillId="5" borderId="51" xfId="0" applyFont="1" applyFill="1" applyBorder="1" applyAlignment="1">
      <alignment horizontal="center" vertical="center"/>
    </xf>
    <xf numFmtId="0" fontId="20" fillId="5" borderId="52" xfId="0" applyFont="1" applyFill="1" applyBorder="1" applyAlignment="1">
      <alignment horizontal="center" vertical="center"/>
    </xf>
    <xf numFmtId="0" fontId="0" fillId="7" borderId="54" xfId="0" applyFill="1" applyBorder="1" applyAlignment="1">
      <alignment horizontal="center" vertical="center" wrapText="1"/>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0" fillId="12" borderId="0" xfId="0" applyFill="1" applyAlignment="1">
      <alignment horizontal="left"/>
    </xf>
    <xf numFmtId="0" fontId="0" fillId="7" borderId="20" xfId="0" applyFill="1" applyBorder="1" applyAlignment="1">
      <alignment horizontal="center" vertical="center" wrapText="1"/>
    </xf>
    <xf numFmtId="0" fontId="0" fillId="7" borderId="19" xfId="0" applyFill="1" applyBorder="1" applyAlignment="1">
      <alignment horizontal="center" vertical="center" wrapText="1"/>
    </xf>
    <xf numFmtId="0" fontId="0" fillId="18" borderId="20" xfId="0" applyFill="1" applyBorder="1" applyAlignment="1">
      <alignment horizontal="center" vertical="center" wrapText="1"/>
    </xf>
    <xf numFmtId="0" fontId="0" fillId="0" borderId="23" xfId="0" applyBorder="1" applyAlignment="1" applyProtection="1">
      <alignment horizontal="center" vertical="center" wrapText="1"/>
      <protection locked="0"/>
    </xf>
    <xf numFmtId="0" fontId="14" fillId="5" borderId="34" xfId="0" applyFont="1" applyFill="1" applyBorder="1" applyAlignment="1">
      <alignment horizontal="center" vertical="center"/>
    </xf>
    <xf numFmtId="0" fontId="20" fillId="5" borderId="39" xfId="0" applyFont="1" applyFill="1" applyBorder="1" applyAlignment="1">
      <alignment horizontal="center" vertical="center" wrapText="1"/>
    </xf>
    <xf numFmtId="1" fontId="0" fillId="0" borderId="28" xfId="0" applyNumberFormat="1" applyBorder="1" applyAlignment="1" applyProtection="1">
      <alignment horizontal="center" vertical="center" wrapText="1"/>
      <protection locked="0"/>
    </xf>
    <xf numFmtId="0" fontId="23" fillId="7" borderId="13" xfId="0" applyFont="1" applyFill="1" applyBorder="1" applyAlignment="1">
      <alignment horizontal="center" vertical="center"/>
    </xf>
    <xf numFmtId="165" fontId="23" fillId="7" borderId="13" xfId="0" applyNumberFormat="1" applyFont="1" applyFill="1" applyBorder="1" applyAlignment="1">
      <alignment horizontal="center" vertical="center" wrapText="1"/>
    </xf>
    <xf numFmtId="0" fontId="0" fillId="19" borderId="2" xfId="0" applyFill="1" applyBorder="1"/>
    <xf numFmtId="0" fontId="0" fillId="0" borderId="67" xfId="0" applyBorder="1" applyAlignment="1" applyProtection="1">
      <alignment horizontal="center" vertical="center" wrapText="1"/>
      <protection locked="0"/>
    </xf>
    <xf numFmtId="0" fontId="0" fillId="19" borderId="2" xfId="0" applyFill="1" applyBorder="1" applyAlignment="1">
      <alignment vertical="center" wrapText="1"/>
    </xf>
    <xf numFmtId="0" fontId="40" fillId="12" borderId="0" xfId="0" applyFont="1" applyFill="1" applyAlignment="1">
      <alignment horizontal="center" vertical="center"/>
    </xf>
    <xf numFmtId="0" fontId="0" fillId="0" borderId="24" xfId="0" applyBorder="1" applyAlignment="1">
      <alignment horizontal="center" vertical="center"/>
    </xf>
    <xf numFmtId="0" fontId="2" fillId="10" borderId="11" xfId="0" applyFont="1" applyFill="1" applyBorder="1" applyAlignment="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9" xfId="0" applyBorder="1" applyAlignment="1">
      <alignment horizontal="center" vertical="center"/>
    </xf>
    <xf numFmtId="0" fontId="0" fillId="0" borderId="14"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29" xfId="0" applyBorder="1" applyAlignment="1">
      <alignment horizontal="center" vertical="center" wrapText="1"/>
    </xf>
    <xf numFmtId="0" fontId="0" fillId="0" borderId="22" xfId="0" applyBorder="1" applyAlignment="1">
      <alignment horizontal="center" vertical="center" wrapText="1"/>
    </xf>
    <xf numFmtId="0" fontId="0" fillId="0" borderId="49" xfId="0" applyBorder="1" applyAlignment="1">
      <alignment horizontal="center" vertical="center" wrapText="1"/>
    </xf>
    <xf numFmtId="0" fontId="41" fillId="5" borderId="18" xfId="0" applyFont="1" applyFill="1" applyBorder="1" applyAlignment="1">
      <alignment horizontal="center" vertical="center" wrapText="1"/>
    </xf>
    <xf numFmtId="0" fontId="28" fillId="5" borderId="18" xfId="0" applyFont="1" applyFill="1" applyBorder="1" applyAlignment="1">
      <alignment horizontal="center"/>
    </xf>
    <xf numFmtId="0" fontId="0" fillId="0" borderId="56" xfId="0" applyBorder="1" applyAlignment="1">
      <alignment horizontal="center" vertical="center"/>
    </xf>
    <xf numFmtId="0" fontId="0" fillId="0" borderId="39" xfId="0" applyBorder="1" applyAlignment="1">
      <alignment horizontal="center" vertical="center" wrapText="1"/>
    </xf>
    <xf numFmtId="0" fontId="0" fillId="17" borderId="26" xfId="0" applyFill="1" applyBorder="1" applyAlignment="1">
      <alignment horizontal="center" vertical="center"/>
    </xf>
    <xf numFmtId="0" fontId="0" fillId="17" borderId="29" xfId="0" applyFill="1" applyBorder="1" applyAlignment="1">
      <alignment horizontal="center" vertical="center"/>
    </xf>
    <xf numFmtId="0" fontId="0" fillId="0" borderId="13" xfId="0" applyBorder="1" applyAlignment="1">
      <alignment horizontal="center" vertical="center" wrapText="1"/>
    </xf>
    <xf numFmtId="0" fontId="0" fillId="17" borderId="14" xfId="0" applyFill="1" applyBorder="1" applyAlignment="1">
      <alignment horizontal="center" vertical="center"/>
    </xf>
    <xf numFmtId="0" fontId="0" fillId="11" borderId="26" xfId="0" applyFill="1" applyBorder="1" applyAlignment="1">
      <alignment horizontal="center" vertical="center"/>
    </xf>
    <xf numFmtId="0" fontId="0" fillId="11" borderId="29" xfId="0" applyFill="1" applyBorder="1" applyAlignment="1">
      <alignment horizontal="center" vertical="center"/>
    </xf>
    <xf numFmtId="0" fontId="0" fillId="11" borderId="14" xfId="0" applyFill="1" applyBorder="1" applyAlignment="1">
      <alignment horizontal="center" vertical="center"/>
    </xf>
    <xf numFmtId="0" fontId="0" fillId="3" borderId="29" xfId="0" applyFill="1" applyBorder="1" applyAlignment="1">
      <alignment horizontal="center" vertical="center"/>
    </xf>
    <xf numFmtId="0" fontId="0" fillId="0" borderId="8" xfId="0" applyBorder="1" applyAlignment="1">
      <alignment horizontal="center" vertical="center"/>
    </xf>
    <xf numFmtId="0" fontId="0" fillId="0" borderId="53" xfId="0" applyBorder="1" applyAlignment="1">
      <alignment horizontal="center" vertical="center" wrapText="1"/>
    </xf>
    <xf numFmtId="0" fontId="0" fillId="11" borderId="9" xfId="0" applyFill="1" applyBorder="1" applyAlignment="1">
      <alignment horizontal="center" vertical="center"/>
    </xf>
    <xf numFmtId="0" fontId="0" fillId="3" borderId="14" xfId="0" applyFill="1" applyBorder="1" applyAlignment="1">
      <alignment horizontal="center" vertical="center"/>
    </xf>
    <xf numFmtId="0" fontId="2" fillId="2" borderId="78"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1" xfId="0" applyFont="1" applyFill="1" applyBorder="1" applyAlignment="1">
      <alignment horizontal="center" vertical="center" wrapText="1"/>
    </xf>
    <xf numFmtId="0" fontId="2" fillId="2" borderId="52" xfId="0" applyFont="1" applyFill="1" applyBorder="1" applyAlignment="1">
      <alignment horizontal="center" vertical="center"/>
    </xf>
    <xf numFmtId="0" fontId="0" fillId="0" borderId="53" xfId="0" applyBorder="1" applyAlignment="1">
      <alignment horizontal="center" vertical="center"/>
    </xf>
    <xf numFmtId="0" fontId="0" fillId="4" borderId="20"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20" fillId="22" borderId="9" xfId="0" applyFont="1" applyFill="1" applyBorder="1" applyAlignment="1">
      <alignment horizontal="center" vertical="center"/>
    </xf>
    <xf numFmtId="0" fontId="12" fillId="22" borderId="21" xfId="0" applyFont="1" applyFill="1" applyBorder="1" applyAlignment="1">
      <alignment horizontal="center" vertical="center" wrapText="1"/>
    </xf>
    <xf numFmtId="0" fontId="12" fillId="22" borderId="45" xfId="0" applyFont="1" applyFill="1" applyBorder="1" applyAlignment="1">
      <alignment horizontal="center" vertical="center" wrapText="1"/>
    </xf>
    <xf numFmtId="0" fontId="12" fillId="22" borderId="47" xfId="0" applyFont="1" applyFill="1" applyBorder="1" applyAlignment="1">
      <alignment horizontal="center" vertical="center" wrapText="1"/>
    </xf>
    <xf numFmtId="0" fontId="12" fillId="22" borderId="59" xfId="0" applyFont="1" applyFill="1" applyBorder="1" applyAlignment="1">
      <alignment horizontal="center" vertical="center" wrapText="1"/>
    </xf>
    <xf numFmtId="0" fontId="12" fillId="22" borderId="1" xfId="0" applyFont="1" applyFill="1" applyBorder="1" applyAlignment="1">
      <alignment horizontal="center" vertical="center" wrapText="1"/>
    </xf>
    <xf numFmtId="0" fontId="14" fillId="22" borderId="10" xfId="0" applyFont="1" applyFill="1" applyBorder="1" applyAlignment="1">
      <alignment horizontal="center" vertical="center" wrapText="1"/>
    </xf>
    <xf numFmtId="0" fontId="14" fillId="22" borderId="7" xfId="0" applyFont="1" applyFill="1" applyBorder="1" applyAlignment="1">
      <alignment horizontal="center" vertical="center" wrapText="1"/>
    </xf>
    <xf numFmtId="0" fontId="12" fillId="22" borderId="5" xfId="0" applyFont="1" applyFill="1" applyBorder="1" applyAlignment="1">
      <alignment horizontal="center" vertical="center" wrapText="1"/>
    </xf>
    <xf numFmtId="0" fontId="14" fillId="22" borderId="4" xfId="0" applyFont="1" applyFill="1" applyBorder="1" applyAlignment="1">
      <alignment horizontal="center" vertical="center" wrapText="1"/>
    </xf>
    <xf numFmtId="0" fontId="14" fillId="22" borderId="11" xfId="0" applyFont="1" applyFill="1" applyBorder="1" applyAlignment="1">
      <alignment horizontal="center" vertical="center" wrapText="1"/>
    </xf>
    <xf numFmtId="0" fontId="21" fillId="22" borderId="39" xfId="0" applyFont="1" applyFill="1" applyBorder="1" applyAlignment="1">
      <alignment horizontal="center" vertical="center" wrapText="1"/>
    </xf>
    <xf numFmtId="0" fontId="21" fillId="22" borderId="18" xfId="0" applyFont="1" applyFill="1" applyBorder="1" applyAlignment="1">
      <alignment horizontal="center" vertical="center" wrapText="1"/>
    </xf>
    <xf numFmtId="0" fontId="21" fillId="22" borderId="13" xfId="0" applyFont="1" applyFill="1" applyBorder="1" applyAlignment="1">
      <alignment horizontal="center" vertical="center" wrapText="1"/>
    </xf>
    <xf numFmtId="0" fontId="2" fillId="23" borderId="18" xfId="0" applyFont="1" applyFill="1" applyBorder="1" applyAlignment="1">
      <alignment horizontal="center" vertical="center" wrapText="1"/>
    </xf>
    <xf numFmtId="165" fontId="11" fillId="24" borderId="29" xfId="0" applyNumberFormat="1" applyFont="1" applyFill="1" applyBorder="1" applyAlignment="1">
      <alignment horizontal="center" vertical="center" wrapText="1"/>
    </xf>
    <xf numFmtId="165" fontId="11" fillId="24" borderId="14" xfId="0" applyNumberFormat="1" applyFont="1" applyFill="1" applyBorder="1" applyAlignment="1">
      <alignment horizontal="center" vertical="center" wrapText="1"/>
    </xf>
    <xf numFmtId="165" fontId="0" fillId="24" borderId="72" xfId="0" applyNumberFormat="1" applyFill="1" applyBorder="1" applyAlignment="1">
      <alignment horizontal="center" vertical="center" wrapText="1"/>
    </xf>
    <xf numFmtId="165" fontId="0" fillId="24" borderId="71" xfId="0" applyNumberFormat="1" applyFill="1" applyBorder="1" applyAlignment="1">
      <alignment horizontal="center" vertical="center" wrapText="1"/>
    </xf>
    <xf numFmtId="0" fontId="14" fillId="22" borderId="25" xfId="0" applyFont="1" applyFill="1" applyBorder="1" applyAlignment="1">
      <alignment horizontal="center" vertical="center" wrapText="1"/>
    </xf>
    <xf numFmtId="0" fontId="14" fillId="22" borderId="28" xfId="0" applyFont="1" applyFill="1" applyBorder="1" applyAlignment="1">
      <alignment horizontal="center" vertical="center" wrapText="1"/>
    </xf>
    <xf numFmtId="165" fontId="0" fillId="24" borderId="20" xfId="0" applyNumberFormat="1" applyFill="1" applyBorder="1" applyAlignment="1">
      <alignment horizontal="center" vertical="center" wrapText="1"/>
    </xf>
    <xf numFmtId="1" fontId="2" fillId="24" borderId="11" xfId="0" applyNumberFormat="1" applyFont="1" applyFill="1" applyBorder="1" applyAlignment="1">
      <alignment horizontal="center" vertical="center" wrapText="1"/>
    </xf>
    <xf numFmtId="0" fontId="43" fillId="4" borderId="38" xfId="0" applyFont="1" applyFill="1" applyBorder="1" applyAlignment="1" applyProtection="1">
      <alignment horizontal="left" vertical="top" wrapText="1"/>
      <protection locked="0"/>
    </xf>
    <xf numFmtId="167" fontId="5" fillId="0" borderId="43" xfId="0" applyNumberFormat="1" applyFont="1" applyBorder="1" applyAlignment="1" applyProtection="1">
      <alignment horizontal="center" vertical="center"/>
      <protection locked="0"/>
    </xf>
    <xf numFmtId="167" fontId="5" fillId="0" borderId="36" xfId="0" applyNumberFormat="1" applyFont="1" applyBorder="1" applyAlignment="1" applyProtection="1">
      <alignment horizontal="center" vertical="center"/>
      <protection locked="0"/>
    </xf>
    <xf numFmtId="0" fontId="14" fillId="22" borderId="15" xfId="0" applyFont="1" applyFill="1" applyBorder="1" applyAlignment="1">
      <alignment horizontal="center" vertical="center" wrapText="1"/>
    </xf>
    <xf numFmtId="0" fontId="0" fillId="0" borderId="54" xfId="0" applyBorder="1"/>
    <xf numFmtId="165" fontId="0" fillId="2" borderId="28" xfId="0" applyNumberFormat="1" applyFill="1" applyBorder="1" applyAlignment="1">
      <alignment horizontal="center" vertical="center" wrapText="1"/>
    </xf>
    <xf numFmtId="165" fontId="0" fillId="2" borderId="18" xfId="0" applyNumberFormat="1" applyFill="1" applyBorder="1" applyAlignment="1">
      <alignment horizontal="center" vertical="center" wrapText="1"/>
    </xf>
    <xf numFmtId="165" fontId="0" fillId="2" borderId="29" xfId="0" applyNumberFormat="1" applyFill="1" applyBorder="1" applyAlignment="1">
      <alignment horizontal="center" vertical="center" wrapText="1"/>
    </xf>
    <xf numFmtId="2" fontId="0" fillId="24" borderId="18" xfId="0" applyNumberFormat="1" applyFill="1" applyBorder="1" applyAlignment="1">
      <alignment horizontal="center" vertical="center" wrapText="1"/>
    </xf>
    <xf numFmtId="2" fontId="0" fillId="0" borderId="25" xfId="0" applyNumberFormat="1" applyBorder="1" applyAlignment="1" applyProtection="1">
      <alignment horizontal="center" vertical="center" wrapText="1"/>
      <protection locked="0"/>
    </xf>
    <xf numFmtId="2" fontId="0" fillId="0" borderId="39" xfId="0" applyNumberFormat="1" applyBorder="1" applyAlignment="1" applyProtection="1">
      <alignment horizontal="center" vertical="center" wrapText="1"/>
      <protection locked="0"/>
    </xf>
    <xf numFmtId="2" fontId="0" fillId="0" borderId="62" xfId="0" applyNumberFormat="1" applyBorder="1" applyAlignment="1" applyProtection="1">
      <alignment horizontal="center" vertical="center" wrapText="1"/>
      <protection locked="0"/>
    </xf>
    <xf numFmtId="2" fontId="0" fillId="0" borderId="20" xfId="0" applyNumberFormat="1" applyBorder="1" applyAlignment="1" applyProtection="1">
      <alignment horizontal="center" vertical="center" wrapText="1"/>
      <protection locked="0"/>
    </xf>
    <xf numFmtId="2" fontId="0" fillId="0" borderId="18" xfId="0" applyNumberFormat="1" applyBorder="1" applyAlignment="1" applyProtection="1">
      <alignment horizontal="center" vertical="center" wrapText="1"/>
      <protection locked="0"/>
    </xf>
    <xf numFmtId="2" fontId="0" fillId="0" borderId="68" xfId="0" applyNumberFormat="1" applyBorder="1" applyAlignment="1" applyProtection="1">
      <alignment horizontal="center" vertical="center" wrapText="1"/>
      <protection locked="0"/>
    </xf>
    <xf numFmtId="2" fontId="0" fillId="0" borderId="76" xfId="0" applyNumberFormat="1" applyBorder="1" applyAlignment="1" applyProtection="1">
      <alignment horizontal="center" vertical="center" wrapText="1"/>
      <protection locked="0"/>
    </xf>
    <xf numFmtId="2" fontId="0" fillId="0" borderId="13" xfId="0" applyNumberFormat="1" applyBorder="1" applyAlignment="1" applyProtection="1">
      <alignment horizontal="center" vertical="center" wrapText="1"/>
      <protection locked="0"/>
    </xf>
    <xf numFmtId="2" fontId="0" fillId="0" borderId="37" xfId="0" applyNumberFormat="1" applyBorder="1" applyAlignment="1" applyProtection="1">
      <alignment horizontal="center" vertical="center" wrapText="1"/>
      <protection locked="0"/>
    </xf>
    <xf numFmtId="2" fontId="0" fillId="24" borderId="78" xfId="0" applyNumberFormat="1" applyFill="1" applyBorder="1" applyAlignment="1">
      <alignment horizontal="center" vertical="center" wrapText="1"/>
    </xf>
    <xf numFmtId="2" fontId="0" fillId="24" borderId="51" xfId="0" applyNumberFormat="1" applyFill="1" applyBorder="1" applyAlignment="1">
      <alignment horizontal="center" vertical="center" wrapText="1"/>
    </xf>
    <xf numFmtId="2" fontId="0" fillId="24" borderId="52" xfId="0" applyNumberFormat="1" applyFill="1" applyBorder="1" applyAlignment="1">
      <alignment horizontal="center" vertical="center" wrapText="1"/>
    </xf>
    <xf numFmtId="2" fontId="0" fillId="24" borderId="39" xfId="0" applyNumberFormat="1" applyFill="1" applyBorder="1" applyAlignment="1">
      <alignment horizontal="center" vertical="center" wrapText="1"/>
    </xf>
    <xf numFmtId="2" fontId="0" fillId="24" borderId="13" xfId="0" applyNumberFormat="1" applyFill="1" applyBorder="1" applyAlignment="1">
      <alignment horizontal="center" vertical="center" wrapText="1"/>
    </xf>
    <xf numFmtId="2" fontId="0" fillId="24" borderId="68" xfId="0" applyNumberFormat="1" applyFill="1" applyBorder="1" applyAlignment="1">
      <alignment horizontal="center" vertical="center" wrapText="1"/>
    </xf>
    <xf numFmtId="2" fontId="4" fillId="7" borderId="21" xfId="0" applyNumberFormat="1" applyFont="1" applyFill="1" applyBorder="1" applyAlignment="1">
      <alignment horizontal="center" vertical="center"/>
    </xf>
    <xf numFmtId="2" fontId="0" fillId="24" borderId="7" xfId="0" applyNumberFormat="1" applyFill="1" applyBorder="1" applyAlignment="1">
      <alignment horizontal="center" vertical="center" wrapText="1"/>
    </xf>
    <xf numFmtId="2" fontId="0" fillId="24" borderId="73" xfId="0" applyNumberFormat="1" applyFill="1" applyBorder="1" applyAlignment="1">
      <alignment horizontal="center" vertical="center" wrapText="1"/>
    </xf>
    <xf numFmtId="2" fontId="4" fillId="7" borderId="22" xfId="0" applyNumberFormat="1" applyFont="1" applyFill="1" applyBorder="1" applyAlignment="1">
      <alignment horizontal="center" vertical="center"/>
    </xf>
    <xf numFmtId="2" fontId="4" fillId="7" borderId="49" xfId="0" applyNumberFormat="1" applyFont="1" applyFill="1" applyBorder="1" applyAlignment="1">
      <alignment horizontal="center" vertical="center"/>
    </xf>
    <xf numFmtId="2" fontId="0" fillId="24" borderId="10" xfId="0" applyNumberFormat="1" applyFill="1" applyBorder="1" applyAlignment="1">
      <alignment horizontal="center" vertical="center" wrapText="1"/>
    </xf>
    <xf numFmtId="2" fontId="0" fillId="0" borderId="24" xfId="0" applyNumberFormat="1" applyBorder="1" applyAlignment="1" applyProtection="1">
      <alignment horizontal="center" vertical="center" wrapText="1"/>
      <protection locked="0"/>
    </xf>
    <xf numFmtId="2" fontId="0" fillId="7" borderId="8" xfId="0" applyNumberFormat="1" applyFill="1" applyBorder="1" applyAlignment="1">
      <alignment horizontal="center" vertical="center" wrapText="1"/>
    </xf>
    <xf numFmtId="2" fontId="0" fillId="7" borderId="53" xfId="0" applyNumberFormat="1" applyFill="1" applyBorder="1" applyAlignment="1">
      <alignment horizontal="center" vertical="center" wrapText="1"/>
    </xf>
    <xf numFmtId="2" fontId="0" fillId="24" borderId="72" xfId="0" applyNumberFormat="1" applyFill="1" applyBorder="1" applyAlignment="1">
      <alignment horizontal="center" vertical="center" wrapText="1"/>
    </xf>
    <xf numFmtId="2" fontId="0" fillId="24" borderId="70" xfId="0" applyNumberFormat="1" applyFill="1" applyBorder="1" applyAlignment="1">
      <alignment horizontal="center" vertical="center" wrapText="1"/>
    </xf>
    <xf numFmtId="2" fontId="0" fillId="24" borderId="71" xfId="0" applyNumberFormat="1" applyFill="1" applyBorder="1" applyAlignment="1">
      <alignment horizontal="center" vertical="center" wrapText="1"/>
    </xf>
    <xf numFmtId="165" fontId="11" fillId="7" borderId="29" xfId="0" applyNumberFormat="1" applyFont="1" applyFill="1" applyBorder="1" applyAlignment="1">
      <alignment horizontal="center" vertical="center" wrapText="1"/>
    </xf>
    <xf numFmtId="165" fontId="11" fillId="7" borderId="14" xfId="0" applyNumberFormat="1" applyFont="1" applyFill="1" applyBorder="1" applyAlignment="1">
      <alignment horizontal="center" vertical="center" wrapText="1"/>
    </xf>
    <xf numFmtId="0" fontId="0" fillId="0" borderId="48" xfId="0" applyBorder="1" applyAlignment="1">
      <alignment horizontal="center" vertical="center"/>
    </xf>
    <xf numFmtId="0" fontId="0" fillId="0" borderId="23" xfId="0" applyBorder="1" applyAlignment="1">
      <alignment horizontal="center" vertical="center"/>
    </xf>
    <xf numFmtId="0" fontId="0" fillId="0" borderId="55" xfId="0" applyBorder="1" applyAlignment="1">
      <alignment horizontal="center" vertical="center"/>
    </xf>
    <xf numFmtId="0" fontId="0" fillId="0" borderId="26" xfId="0" applyBorder="1" applyAlignment="1">
      <alignment horizontal="center" vertical="center" wrapText="1"/>
    </xf>
    <xf numFmtId="0" fontId="4" fillId="18" borderId="46" xfId="0" applyFont="1" applyFill="1" applyBorder="1" applyAlignment="1">
      <alignment horizontal="center" vertical="center" wrapText="1"/>
    </xf>
    <xf numFmtId="0" fontId="0" fillId="12" borderId="18"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12" xfId="0" applyFill="1" applyBorder="1" applyAlignment="1">
      <alignment horizontal="center" vertical="center" wrapText="1"/>
    </xf>
    <xf numFmtId="0" fontId="0" fillId="12" borderId="54" xfId="0" applyFill="1" applyBorder="1" applyAlignment="1">
      <alignment horizontal="center" vertical="center" wrapText="1"/>
    </xf>
    <xf numFmtId="0" fontId="0" fillId="12" borderId="53" xfId="0" applyFill="1" applyBorder="1" applyAlignment="1">
      <alignment horizontal="center" vertical="center" wrapText="1"/>
    </xf>
    <xf numFmtId="0" fontId="0" fillId="2" borderId="44" xfId="0" applyFill="1" applyBorder="1" applyAlignment="1">
      <alignment horizontal="center" vertical="center" wrapText="1"/>
    </xf>
    <xf numFmtId="0" fontId="14" fillId="5" borderId="77" xfId="0" applyFont="1" applyFill="1" applyBorder="1" applyAlignment="1">
      <alignment horizontal="center" vertical="center" wrapText="1"/>
    </xf>
    <xf numFmtId="0" fontId="14" fillId="5" borderId="69"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14" fillId="12" borderId="24" xfId="0" applyFont="1" applyFill="1" applyBorder="1" applyAlignment="1">
      <alignment horizontal="center" vertical="center" wrapText="1"/>
    </xf>
    <xf numFmtId="164" fontId="0" fillId="24" borderId="18" xfId="0" applyNumberFormat="1" applyFill="1" applyBorder="1" applyAlignment="1">
      <alignment horizontal="center" vertical="center" wrapText="1"/>
    </xf>
    <xf numFmtId="0" fontId="14" fillId="5" borderId="73" xfId="0" applyFont="1" applyFill="1" applyBorder="1" applyAlignment="1">
      <alignment horizontal="center" vertical="center" wrapText="1"/>
    </xf>
    <xf numFmtId="0" fontId="14" fillId="5" borderId="66" xfId="0" applyFont="1" applyFill="1" applyBorder="1" applyAlignment="1">
      <alignment horizontal="center" vertical="center" wrapText="1"/>
    </xf>
    <xf numFmtId="0" fontId="0" fillId="12" borderId="39" xfId="0" applyFill="1" applyBorder="1" applyAlignment="1">
      <alignment horizontal="center" vertical="center" wrapText="1"/>
    </xf>
    <xf numFmtId="0" fontId="0" fillId="2" borderId="26" xfId="0" applyFill="1" applyBorder="1" applyAlignment="1">
      <alignment horizontal="center" vertical="center" wrapText="1"/>
    </xf>
    <xf numFmtId="0" fontId="0" fillId="12" borderId="13" xfId="0" applyFill="1" applyBorder="1" applyAlignment="1">
      <alignment horizontal="center" vertical="center" wrapText="1"/>
    </xf>
    <xf numFmtId="0" fontId="14" fillId="12" borderId="18" xfId="0" applyFont="1" applyFill="1" applyBorder="1" applyAlignment="1">
      <alignment horizontal="center" vertical="center" wrapText="1"/>
    </xf>
    <xf numFmtId="0" fontId="14" fillId="12" borderId="39" xfId="0" applyFont="1" applyFill="1" applyBorder="1" applyAlignment="1">
      <alignment horizontal="center" vertical="center" wrapText="1"/>
    </xf>
    <xf numFmtId="0" fontId="14" fillId="5" borderId="40" xfId="0" applyFont="1" applyFill="1" applyBorder="1" applyAlignment="1">
      <alignment horizontal="center" vertical="center" wrapText="1"/>
    </xf>
    <xf numFmtId="0" fontId="14" fillId="5" borderId="19" xfId="0" applyFont="1" applyFill="1" applyBorder="1" applyAlignment="1">
      <alignment horizontal="center" vertical="center" wrapText="1"/>
    </xf>
    <xf numFmtId="2" fontId="0" fillId="12" borderId="18" xfId="0" applyNumberFormat="1" applyFill="1" applyBorder="1" applyAlignment="1">
      <alignment horizontal="center" vertical="center" wrapText="1"/>
    </xf>
    <xf numFmtId="0" fontId="14" fillId="12" borderId="38" xfId="0" applyFont="1" applyFill="1" applyBorder="1" applyAlignment="1">
      <alignment horizontal="center" vertical="center" wrapText="1"/>
    </xf>
    <xf numFmtId="0" fontId="0" fillId="12" borderId="38" xfId="0" applyFill="1" applyBorder="1" applyAlignment="1">
      <alignment horizontal="center" vertical="center" wrapText="1"/>
    </xf>
    <xf numFmtId="0" fontId="14" fillId="5" borderId="20" xfId="0" applyFont="1" applyFill="1" applyBorder="1" applyAlignment="1">
      <alignment horizontal="center" vertical="center" wrapText="1"/>
    </xf>
    <xf numFmtId="0" fontId="23" fillId="7" borderId="54" xfId="0" applyFont="1" applyFill="1" applyBorder="1" applyAlignment="1">
      <alignment horizontal="center" vertical="center"/>
    </xf>
    <xf numFmtId="165" fontId="23" fillId="7" borderId="54" xfId="0" applyNumberFormat="1" applyFont="1" applyFill="1" applyBorder="1" applyAlignment="1">
      <alignment horizontal="center" vertical="center" wrapText="1"/>
    </xf>
    <xf numFmtId="165" fontId="23" fillId="7" borderId="16" xfId="0" applyNumberFormat="1" applyFont="1" applyFill="1" applyBorder="1" applyAlignment="1">
      <alignment horizontal="center" wrapText="1"/>
    </xf>
    <xf numFmtId="0" fontId="0" fillId="0" borderId="49" xfId="0" applyBorder="1" applyAlignment="1">
      <alignment horizontal="left" vertical="center"/>
    </xf>
    <xf numFmtId="165" fontId="5" fillId="0" borderId="63" xfId="0" applyNumberFormat="1" applyFont="1" applyBorder="1" applyAlignment="1">
      <alignment vertical="center"/>
    </xf>
    <xf numFmtId="165" fontId="5" fillId="0" borderId="41" xfId="0" applyNumberFormat="1" applyFont="1" applyBorder="1" applyAlignment="1">
      <alignment vertical="center"/>
    </xf>
    <xf numFmtId="165" fontId="5" fillId="0" borderId="42" xfId="0" applyNumberFormat="1" applyFont="1" applyBorder="1" applyAlignment="1">
      <alignment vertical="center"/>
    </xf>
    <xf numFmtId="0" fontId="9" fillId="13" borderId="33" xfId="0" applyFont="1" applyFill="1" applyBorder="1" applyAlignment="1">
      <alignment vertical="center" wrapText="1"/>
    </xf>
    <xf numFmtId="0" fontId="26" fillId="6" borderId="53" xfId="0" applyFont="1" applyFill="1" applyBorder="1" applyAlignment="1">
      <alignment vertical="center"/>
    </xf>
    <xf numFmtId="0" fontId="26" fillId="6" borderId="44" xfId="0" applyFont="1" applyFill="1" applyBorder="1" applyAlignment="1">
      <alignment vertical="center"/>
    </xf>
    <xf numFmtId="0" fontId="26" fillId="6" borderId="9" xfId="0" applyFont="1" applyFill="1" applyBorder="1" applyAlignment="1">
      <alignment vertical="center"/>
    </xf>
    <xf numFmtId="0" fontId="0" fillId="25" borderId="28" xfId="0" applyFill="1" applyBorder="1" applyAlignment="1" applyProtection="1">
      <alignment horizontal="center" vertical="center" wrapText="1"/>
      <protection locked="0"/>
    </xf>
    <xf numFmtId="0" fontId="0" fillId="25" borderId="20" xfId="0" applyFill="1" applyBorder="1" applyAlignment="1" applyProtection="1">
      <alignment horizontal="center" vertical="center" wrapText="1"/>
      <protection locked="0"/>
    </xf>
    <xf numFmtId="0" fontId="0" fillId="25" borderId="15" xfId="0" applyFill="1" applyBorder="1" applyAlignment="1" applyProtection="1">
      <alignment horizontal="center" vertical="center" wrapText="1"/>
      <protection locked="0"/>
    </xf>
    <xf numFmtId="0" fontId="0" fillId="25" borderId="11" xfId="0" applyFill="1" applyBorder="1" applyAlignment="1" applyProtection="1">
      <alignment horizontal="center" vertical="center" wrapText="1"/>
      <protection locked="0"/>
    </xf>
    <xf numFmtId="0" fontId="0" fillId="0" borderId="24" xfId="0" applyBorder="1" applyAlignment="1">
      <alignment horizontal="center" vertical="center" wrapText="1"/>
    </xf>
    <xf numFmtId="0" fontId="0" fillId="27" borderId="45" xfId="0" applyFill="1" applyBorder="1" applyAlignment="1">
      <alignment horizontal="center"/>
    </xf>
    <xf numFmtId="0" fontId="0" fillId="27" borderId="38" xfId="0" applyFill="1" applyBorder="1" applyAlignment="1">
      <alignment horizontal="center"/>
    </xf>
    <xf numFmtId="0" fontId="0" fillId="22" borderId="45" xfId="0" applyFill="1" applyBorder="1" applyAlignment="1">
      <alignment horizontal="center"/>
    </xf>
    <xf numFmtId="0" fontId="0" fillId="22" borderId="38" xfId="0" applyFill="1" applyBorder="1" applyAlignment="1">
      <alignment horizontal="center"/>
    </xf>
    <xf numFmtId="0" fontId="12" fillId="5" borderId="60" xfId="0" applyFont="1" applyFill="1" applyBorder="1" applyAlignment="1">
      <alignment horizontal="center" vertical="center" wrapText="1"/>
    </xf>
    <xf numFmtId="0" fontId="22" fillId="31" borderId="28" xfId="0" applyFont="1" applyFill="1" applyBorder="1" applyAlignment="1">
      <alignment horizontal="center" vertical="center" wrapText="1"/>
    </xf>
    <xf numFmtId="0" fontId="22" fillId="31" borderId="11" xfId="0" applyFont="1" applyFill="1" applyBorder="1" applyAlignment="1">
      <alignment horizontal="center" vertical="center" wrapText="1"/>
    </xf>
    <xf numFmtId="167" fontId="5" fillId="0" borderId="39" xfId="0" applyNumberFormat="1" applyFont="1" applyBorder="1" applyAlignment="1" applyProtection="1">
      <alignment horizontal="center" vertical="center"/>
      <protection locked="0"/>
    </xf>
    <xf numFmtId="167" fontId="5" fillId="0" borderId="26" xfId="0" applyNumberFormat="1" applyFont="1" applyBorder="1" applyAlignment="1" applyProtection="1">
      <alignment horizontal="center" vertical="center"/>
      <protection locked="0"/>
    </xf>
    <xf numFmtId="167" fontId="0" fillId="0" borderId="24" xfId="0" applyNumberFormat="1" applyBorder="1" applyAlignment="1" applyProtection="1">
      <alignment horizontal="center" vertical="center"/>
      <protection locked="0"/>
    </xf>
    <xf numFmtId="167" fontId="0" fillId="0" borderId="19" xfId="0" applyNumberFormat="1" applyBorder="1" applyAlignment="1" applyProtection="1">
      <alignment horizontal="center" vertical="center"/>
      <protection locked="0"/>
    </xf>
    <xf numFmtId="0" fontId="0" fillId="7" borderId="44" xfId="0" applyFill="1" applyBorder="1" applyAlignment="1">
      <alignment horizontal="center" vertical="center" wrapText="1"/>
    </xf>
    <xf numFmtId="0" fontId="0" fillId="7" borderId="7" xfId="0" applyFill="1" applyBorder="1" applyAlignment="1" applyProtection="1">
      <alignment horizontal="center" vertical="center" wrapText="1"/>
      <protection locked="0"/>
    </xf>
    <xf numFmtId="2" fontId="4" fillId="7" borderId="7" xfId="0" applyNumberFormat="1" applyFont="1" applyFill="1" applyBorder="1" applyAlignment="1">
      <alignment horizontal="center" vertical="center"/>
    </xf>
    <xf numFmtId="165" fontId="0" fillId="24" borderId="8" xfId="0" applyNumberFormat="1" applyFill="1" applyBorder="1" applyAlignment="1">
      <alignment horizontal="center" vertical="center" wrapText="1"/>
    </xf>
    <xf numFmtId="0" fontId="0" fillId="0" borderId="40" xfId="0" applyBorder="1" applyAlignment="1" applyProtection="1">
      <alignment horizontal="center" vertical="center" wrapText="1"/>
      <protection locked="0"/>
    </xf>
    <xf numFmtId="2" fontId="0" fillId="24" borderId="24" xfId="0" applyNumberFormat="1" applyFill="1" applyBorder="1" applyAlignment="1">
      <alignment horizontal="center" vertical="center" wrapText="1"/>
    </xf>
    <xf numFmtId="164" fontId="0" fillId="24" borderId="24" xfId="0" applyNumberFormat="1" applyFill="1" applyBorder="1" applyAlignment="1">
      <alignment horizontal="center" vertical="center" wrapText="1"/>
    </xf>
    <xf numFmtId="2" fontId="0" fillId="24" borderId="54" xfId="0" applyNumberFormat="1" applyFill="1" applyBorder="1" applyAlignment="1">
      <alignment horizontal="center" vertical="center" wrapText="1"/>
    </xf>
    <xf numFmtId="164" fontId="0" fillId="24" borderId="54" xfId="0" applyNumberFormat="1" applyFill="1" applyBorder="1" applyAlignment="1">
      <alignment horizontal="center" vertical="center" wrapText="1"/>
    </xf>
    <xf numFmtId="2" fontId="0" fillId="24" borderId="53" xfId="0" applyNumberFormat="1" applyFill="1" applyBorder="1" applyAlignment="1">
      <alignment horizontal="center" vertical="center" wrapText="1"/>
    </xf>
    <xf numFmtId="165" fontId="0" fillId="24" borderId="9" xfId="0" applyNumberFormat="1" applyFill="1" applyBorder="1" applyAlignment="1">
      <alignment horizontal="center" vertical="center" wrapText="1"/>
    </xf>
    <xf numFmtId="0" fontId="0" fillId="12" borderId="0" xfId="0" applyFill="1" applyAlignment="1">
      <alignment vertical="center" wrapText="1"/>
    </xf>
    <xf numFmtId="0" fontId="0" fillId="7" borderId="25" xfId="0" applyFill="1" applyBorder="1" applyAlignment="1">
      <alignment horizontal="center" vertical="center" wrapText="1"/>
    </xf>
    <xf numFmtId="0" fontId="0" fillId="7" borderId="26" xfId="0" applyFill="1" applyBorder="1" applyAlignment="1">
      <alignment horizontal="center" vertical="center" wrapText="1"/>
    </xf>
    <xf numFmtId="0" fontId="0" fillId="18" borderId="25" xfId="0" applyFill="1" applyBorder="1" applyAlignment="1">
      <alignment horizontal="center" vertical="center" wrapText="1"/>
    </xf>
    <xf numFmtId="0" fontId="0" fillId="7" borderId="48" xfId="0" applyFill="1" applyBorder="1" applyAlignment="1">
      <alignment horizontal="center" vertical="center" wrapText="1"/>
    </xf>
    <xf numFmtId="2" fontId="4" fillId="7" borderId="48" xfId="0" applyNumberFormat="1" applyFont="1" applyFill="1" applyBorder="1" applyAlignment="1">
      <alignment horizontal="center" vertical="center"/>
    </xf>
    <xf numFmtId="0" fontId="0" fillId="7" borderId="77" xfId="0" applyFill="1" applyBorder="1" applyAlignment="1">
      <alignment horizontal="center" vertical="center" wrapText="1"/>
    </xf>
    <xf numFmtId="2" fontId="4" fillId="7" borderId="10" xfId="0" applyNumberFormat="1" applyFont="1" applyFill="1" applyBorder="1" applyAlignment="1">
      <alignment horizontal="center" vertical="center"/>
    </xf>
    <xf numFmtId="165" fontId="0" fillId="24" borderId="76" xfId="0" applyNumberFormat="1" applyFill="1" applyBorder="1" applyAlignment="1">
      <alignment horizontal="center" vertical="center" wrapText="1"/>
    </xf>
    <xf numFmtId="2" fontId="4" fillId="7" borderId="5" xfId="0" applyNumberFormat="1" applyFont="1" applyFill="1" applyBorder="1" applyAlignment="1">
      <alignment horizontal="center" vertical="center"/>
    </xf>
    <xf numFmtId="2" fontId="4" fillId="7" borderId="34" xfId="0" applyNumberFormat="1" applyFont="1" applyFill="1" applyBorder="1" applyAlignment="1">
      <alignment horizontal="center" vertical="center"/>
    </xf>
    <xf numFmtId="0" fontId="14" fillId="5" borderId="33" xfId="0" applyFont="1" applyFill="1" applyBorder="1" applyAlignment="1">
      <alignment horizontal="center" vertical="center"/>
    </xf>
    <xf numFmtId="2" fontId="0" fillId="30" borderId="44" xfId="0" applyNumberFormat="1" applyFill="1" applyBorder="1" applyAlignment="1">
      <alignment horizontal="center" vertical="center" wrapText="1"/>
    </xf>
    <xf numFmtId="2" fontId="4" fillId="7" borderId="50" xfId="0" applyNumberFormat="1" applyFont="1" applyFill="1" applyBorder="1" applyAlignment="1">
      <alignment horizontal="center" vertical="center"/>
    </xf>
    <xf numFmtId="0" fontId="16" fillId="7" borderId="18" xfId="0" applyFont="1" applyFill="1" applyBorder="1" applyAlignment="1">
      <alignment horizontal="center" vertical="center"/>
    </xf>
    <xf numFmtId="165" fontId="16" fillId="7" borderId="18" xfId="0" applyNumberFormat="1" applyFont="1" applyFill="1" applyBorder="1" applyAlignment="1">
      <alignment horizontal="center" vertical="center"/>
    </xf>
    <xf numFmtId="0" fontId="45" fillId="12" borderId="0" xfId="0" applyFont="1" applyFill="1"/>
    <xf numFmtId="0" fontId="4" fillId="12" borderId="0" xfId="0" applyFont="1" applyFill="1"/>
    <xf numFmtId="0" fontId="16" fillId="32" borderId="18" xfId="0" applyFont="1" applyFill="1" applyBorder="1" applyAlignment="1">
      <alignment horizontal="center" vertical="center" wrapText="1"/>
    </xf>
    <xf numFmtId="165" fontId="16" fillId="32" borderId="18" xfId="0" applyNumberFormat="1" applyFont="1" applyFill="1" applyBorder="1" applyAlignment="1">
      <alignment horizontal="center" vertical="center"/>
    </xf>
    <xf numFmtId="0" fontId="46" fillId="12" borderId="0" xfId="0" applyFont="1" applyFill="1"/>
    <xf numFmtId="10" fontId="0" fillId="12" borderId="0" xfId="0" applyNumberFormat="1" applyFill="1"/>
    <xf numFmtId="2" fontId="46" fillId="12" borderId="0" xfId="0" applyNumberFormat="1" applyFont="1" applyFill="1"/>
    <xf numFmtId="165" fontId="11" fillId="31" borderId="26" xfId="0" applyNumberFormat="1" applyFont="1" applyFill="1" applyBorder="1" applyAlignment="1">
      <alignment horizontal="center" vertical="center"/>
    </xf>
    <xf numFmtId="165" fontId="33" fillId="31" borderId="14" xfId="0" applyNumberFormat="1" applyFont="1" applyFill="1" applyBorder="1" applyAlignment="1">
      <alignment horizontal="center" vertical="center"/>
    </xf>
    <xf numFmtId="165" fontId="33" fillId="31" borderId="29" xfId="0" applyNumberFormat="1" applyFont="1" applyFill="1" applyBorder="1" applyAlignment="1">
      <alignment horizontal="center" vertical="center"/>
    </xf>
    <xf numFmtId="0" fontId="20" fillId="27" borderId="51" xfId="0" applyFont="1" applyFill="1" applyBorder="1" applyAlignment="1">
      <alignment horizontal="center" vertical="center"/>
    </xf>
    <xf numFmtId="0" fontId="20" fillId="27" borderId="52" xfId="0" applyFont="1" applyFill="1" applyBorder="1" applyAlignment="1">
      <alignment horizontal="center" vertical="center" wrapText="1"/>
    </xf>
    <xf numFmtId="0" fontId="16" fillId="7" borderId="39" xfId="0" applyFont="1" applyFill="1" applyBorder="1" applyAlignment="1">
      <alignment horizontal="center" vertical="center"/>
    </xf>
    <xf numFmtId="165" fontId="16" fillId="7" borderId="39" xfId="0" applyNumberFormat="1" applyFont="1" applyFill="1" applyBorder="1" applyAlignment="1">
      <alignment horizontal="center" vertical="center"/>
    </xf>
    <xf numFmtId="0" fontId="33" fillId="31" borderId="13" xfId="0" applyFont="1" applyFill="1" applyBorder="1" applyAlignment="1">
      <alignment horizontal="center" vertical="center"/>
    </xf>
    <xf numFmtId="165" fontId="33" fillId="31" borderId="13" xfId="0" applyNumberFormat="1" applyFont="1" applyFill="1" applyBorder="1" applyAlignment="1">
      <alignment horizontal="center" vertical="center"/>
    </xf>
    <xf numFmtId="0" fontId="20" fillId="22" borderId="8" xfId="0" applyFont="1" applyFill="1" applyBorder="1" applyAlignment="1">
      <alignment horizontal="center" vertical="center"/>
    </xf>
    <xf numFmtId="0" fontId="16" fillId="7" borderId="53" xfId="0" applyFont="1" applyFill="1" applyBorder="1" applyAlignment="1">
      <alignment horizontal="center" vertical="center"/>
    </xf>
    <xf numFmtId="165" fontId="16" fillId="7" borderId="53" xfId="0" applyNumberFormat="1" applyFont="1" applyFill="1" applyBorder="1" applyAlignment="1">
      <alignment horizontal="center" vertical="center"/>
    </xf>
    <xf numFmtId="0" fontId="33" fillId="12" borderId="9" xfId="0" applyFont="1" applyFill="1" applyBorder="1" applyAlignment="1">
      <alignment horizontal="center" vertical="center"/>
    </xf>
    <xf numFmtId="0" fontId="20" fillId="27" borderId="78" xfId="0" applyFont="1" applyFill="1" applyBorder="1" applyAlignment="1">
      <alignment horizontal="center" vertical="center"/>
    </xf>
    <xf numFmtId="0" fontId="20" fillId="27" borderId="51" xfId="0" applyFont="1" applyFill="1" applyBorder="1" applyAlignment="1">
      <alignment horizontal="center" vertical="center" wrapText="1"/>
    </xf>
    <xf numFmtId="0" fontId="16" fillId="32" borderId="39" xfId="0" applyFont="1" applyFill="1" applyBorder="1" applyAlignment="1">
      <alignment horizontal="center" vertical="center" wrapText="1"/>
    </xf>
    <xf numFmtId="165" fontId="16" fillId="32" borderId="39" xfId="0" applyNumberFormat="1" applyFont="1" applyFill="1" applyBorder="1" applyAlignment="1">
      <alignment horizontal="center" vertical="center"/>
    </xf>
    <xf numFmtId="0" fontId="16" fillId="32" borderId="53" xfId="0" applyFont="1" applyFill="1" applyBorder="1" applyAlignment="1">
      <alignment horizontal="center" vertical="center" wrapText="1"/>
    </xf>
    <xf numFmtId="165" fontId="16" fillId="32" borderId="53" xfId="0" applyNumberFormat="1" applyFont="1" applyFill="1" applyBorder="1" applyAlignment="1">
      <alignment horizontal="center" vertical="center"/>
    </xf>
    <xf numFmtId="0" fontId="20" fillId="27" borderId="78" xfId="0" applyFont="1" applyFill="1" applyBorder="1" applyAlignment="1">
      <alignment horizontal="center" vertical="center" wrapText="1"/>
    </xf>
    <xf numFmtId="165" fontId="38" fillId="12" borderId="0" xfId="0" applyNumberFormat="1" applyFont="1" applyFill="1"/>
    <xf numFmtId="0" fontId="0" fillId="2" borderId="68" xfId="0" applyFill="1" applyBorder="1" applyAlignment="1">
      <alignment horizontal="center" vertical="center" wrapText="1"/>
    </xf>
    <xf numFmtId="0" fontId="0" fillId="27" borderId="48" xfId="0" applyFill="1" applyBorder="1"/>
    <xf numFmtId="0" fontId="12" fillId="27" borderId="50" xfId="0" applyFont="1" applyFill="1" applyBorder="1" applyAlignment="1">
      <alignment horizontal="center" vertical="center" wrapText="1"/>
    </xf>
    <xf numFmtId="0" fontId="23" fillId="2" borderId="48" xfId="0" applyFont="1" applyFill="1" applyBorder="1" applyAlignment="1">
      <alignment horizontal="center" vertical="center" wrapText="1"/>
    </xf>
    <xf numFmtId="0" fontId="23" fillId="2" borderId="49" xfId="0" applyFont="1" applyFill="1" applyBorder="1" applyAlignment="1">
      <alignment horizontal="center" vertical="center" wrapText="1"/>
    </xf>
    <xf numFmtId="0" fontId="23" fillId="2" borderId="50" xfId="0" applyFont="1" applyFill="1" applyBorder="1" applyAlignment="1">
      <alignment horizontal="center" vertical="center" wrapText="1"/>
    </xf>
    <xf numFmtId="0" fontId="40" fillId="5" borderId="24" xfId="0" applyFont="1" applyFill="1" applyBorder="1" applyAlignment="1">
      <alignment horizontal="center" vertical="center" wrapText="1"/>
    </xf>
    <xf numFmtId="0" fontId="40" fillId="12" borderId="24" xfId="0" applyFont="1" applyFill="1" applyBorder="1" applyAlignment="1">
      <alignment horizontal="center" vertical="center" wrapText="1"/>
    </xf>
    <xf numFmtId="0" fontId="38" fillId="0" borderId="0" xfId="0" applyFont="1"/>
    <xf numFmtId="2" fontId="0" fillId="0" borderId="67" xfId="0" applyNumberFormat="1" applyBorder="1" applyAlignment="1" applyProtection="1">
      <alignment horizontal="center" vertical="center" wrapText="1"/>
      <protection locked="0"/>
    </xf>
    <xf numFmtId="2" fontId="0" fillId="0" borderId="23" xfId="0" applyNumberFormat="1" applyBorder="1" applyAlignment="1" applyProtection="1">
      <alignment horizontal="center" vertical="center" wrapText="1"/>
      <protection locked="0"/>
    </xf>
    <xf numFmtId="2" fontId="0" fillId="0" borderId="57" xfId="0" applyNumberFormat="1" applyBorder="1" applyAlignment="1" applyProtection="1">
      <alignment horizontal="center" vertical="center" wrapText="1"/>
      <protection locked="0"/>
    </xf>
    <xf numFmtId="0" fontId="14" fillId="22" borderId="58" xfId="0" applyFont="1" applyFill="1" applyBorder="1" applyAlignment="1">
      <alignment horizontal="center" vertical="center" wrapText="1"/>
    </xf>
    <xf numFmtId="0" fontId="4" fillId="2" borderId="18" xfId="0" applyFont="1" applyFill="1" applyBorder="1" applyAlignment="1">
      <alignment horizontal="center" vertical="center"/>
    </xf>
    <xf numFmtId="0" fontId="0" fillId="2" borderId="61" xfId="0" applyFill="1" applyBorder="1" applyAlignment="1">
      <alignment horizontal="center" vertical="center" wrapText="1"/>
    </xf>
    <xf numFmtId="0" fontId="4" fillId="2" borderId="18" xfId="0" applyFont="1" applyFill="1" applyBorder="1" applyAlignment="1">
      <alignment horizontal="center" vertical="center" wrapText="1"/>
    </xf>
    <xf numFmtId="0" fontId="4" fillId="12" borderId="18" xfId="0" applyFont="1" applyFill="1" applyBorder="1" applyAlignment="1">
      <alignment horizontal="center" vertical="center" wrapText="1"/>
    </xf>
    <xf numFmtId="0" fontId="45" fillId="12" borderId="0" xfId="0" applyFont="1" applyFill="1" applyAlignment="1">
      <alignment horizontal="left"/>
    </xf>
    <xf numFmtId="0" fontId="12" fillId="5" borderId="44" xfId="0" applyFont="1" applyFill="1" applyBorder="1" applyAlignment="1">
      <alignment horizontal="center" vertical="center" wrapText="1"/>
    </xf>
    <xf numFmtId="0" fontId="28" fillId="27" borderId="4" xfId="0" applyFont="1" applyFill="1" applyBorder="1" applyAlignment="1">
      <alignment horizontal="center" vertical="center" wrapText="1"/>
    </xf>
    <xf numFmtId="0" fontId="0" fillId="2" borderId="49" xfId="0" applyFill="1" applyBorder="1" applyAlignment="1">
      <alignment horizontal="center" vertical="center"/>
    </xf>
    <xf numFmtId="0" fontId="0" fillId="2" borderId="50" xfId="0" applyFill="1" applyBorder="1" applyAlignment="1">
      <alignment horizontal="center" vertical="center"/>
    </xf>
    <xf numFmtId="165" fontId="5" fillId="3" borderId="5" xfId="0" applyNumberFormat="1" applyFont="1" applyFill="1" applyBorder="1" applyAlignment="1">
      <alignment horizontal="center" vertical="center"/>
    </xf>
    <xf numFmtId="165" fontId="5" fillId="3" borderId="6" xfId="0" applyNumberFormat="1" applyFont="1" applyFill="1" applyBorder="1" applyAlignment="1">
      <alignment vertical="center"/>
    </xf>
    <xf numFmtId="165" fontId="5" fillId="3" borderId="45" xfId="0" applyNumberFormat="1" applyFont="1" applyFill="1" applyBorder="1" applyAlignment="1">
      <alignment horizontal="center" vertical="center"/>
    </xf>
    <xf numFmtId="165" fontId="5" fillId="3" borderId="56" xfId="0" applyNumberFormat="1" applyFont="1" applyFill="1" applyBorder="1" applyAlignment="1">
      <alignment vertical="center"/>
    </xf>
    <xf numFmtId="165" fontId="5" fillId="3" borderId="34" xfId="0" applyNumberFormat="1" applyFont="1" applyFill="1" applyBorder="1" applyAlignment="1">
      <alignment horizontal="center" vertical="center"/>
    </xf>
    <xf numFmtId="165" fontId="5" fillId="3" borderId="36" xfId="0" applyNumberFormat="1" applyFont="1" applyFill="1" applyBorder="1" applyAlignment="1">
      <alignment vertical="center"/>
    </xf>
    <xf numFmtId="0" fontId="47" fillId="12" borderId="0" xfId="0" applyFont="1" applyFill="1"/>
    <xf numFmtId="0" fontId="47" fillId="12" borderId="0" xfId="0" applyFont="1" applyFill="1" applyAlignment="1">
      <alignment vertical="center" wrapText="1"/>
    </xf>
    <xf numFmtId="165" fontId="47" fillId="12" borderId="0" xfId="0" applyNumberFormat="1" applyFont="1" applyFill="1" applyAlignment="1">
      <alignment vertical="center" wrapText="1"/>
    </xf>
    <xf numFmtId="10" fontId="47" fillId="12" borderId="0" xfId="0" applyNumberFormat="1" applyFont="1" applyFill="1" applyAlignment="1">
      <alignment horizontal="center"/>
    </xf>
    <xf numFmtId="0" fontId="47" fillId="12" borderId="0" xfId="0" applyFont="1" applyFill="1" applyAlignment="1">
      <alignment vertical="center"/>
    </xf>
    <xf numFmtId="0" fontId="47" fillId="0" borderId="0" xfId="0" applyFont="1"/>
    <xf numFmtId="0" fontId="48" fillId="12" borderId="0" xfId="0" applyFont="1" applyFill="1"/>
    <xf numFmtId="0" fontId="23" fillId="12" borderId="0" xfId="0" applyFont="1" applyFill="1"/>
    <xf numFmtId="0" fontId="23" fillId="12" borderId="0" xfId="0" applyFont="1" applyFill="1" applyAlignment="1">
      <alignment vertical="center" wrapText="1"/>
    </xf>
    <xf numFmtId="2" fontId="5" fillId="12" borderId="0" xfId="0" applyNumberFormat="1" applyFont="1" applyFill="1" applyAlignment="1">
      <alignment horizontal="center" vertical="center"/>
    </xf>
    <xf numFmtId="165" fontId="23" fillId="7" borderId="14" xfId="0" applyNumberFormat="1" applyFont="1" applyFill="1" applyBorder="1" applyAlignment="1">
      <alignment horizontal="center" vertical="center" wrapText="1"/>
    </xf>
    <xf numFmtId="0" fontId="0" fillId="2" borderId="76" xfId="0" applyFill="1" applyBorder="1" applyAlignment="1">
      <alignment horizontal="center" vertical="center" wrapText="1"/>
    </xf>
    <xf numFmtId="0" fontId="0" fillId="12" borderId="60" xfId="0" applyFill="1" applyBorder="1" applyAlignment="1">
      <alignment horizontal="center" vertical="center" wrapText="1"/>
    </xf>
    <xf numFmtId="0" fontId="14" fillId="5" borderId="72" xfId="0" applyFont="1" applyFill="1" applyBorder="1" applyAlignment="1">
      <alignment horizontal="center" vertical="center" wrapText="1"/>
    </xf>
    <xf numFmtId="0" fontId="14" fillId="5" borderId="70" xfId="0" applyFont="1" applyFill="1" applyBorder="1" applyAlignment="1">
      <alignment horizontal="center" vertical="center" wrapText="1"/>
    </xf>
    <xf numFmtId="0" fontId="0" fillId="12" borderId="27" xfId="0" applyFill="1" applyBorder="1" applyAlignment="1">
      <alignment horizontal="center" vertical="center" wrapText="1"/>
    </xf>
    <xf numFmtId="0" fontId="0" fillId="12" borderId="65" xfId="0" applyFill="1" applyBorder="1" applyAlignment="1">
      <alignment horizontal="center" vertical="center" wrapText="1"/>
    </xf>
    <xf numFmtId="0" fontId="0" fillId="2" borderId="77"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62" xfId="0" applyFill="1" applyBorder="1" applyAlignment="1">
      <alignment horizontal="center" vertical="center" wrapText="1"/>
    </xf>
    <xf numFmtId="0" fontId="0" fillId="2" borderId="34" xfId="0" applyFill="1" applyBorder="1" applyAlignment="1">
      <alignment horizontal="center" vertical="center" wrapText="1"/>
    </xf>
    <xf numFmtId="0" fontId="0" fillId="12" borderId="67" xfId="0" applyFill="1" applyBorder="1" applyAlignment="1">
      <alignment horizontal="center" vertical="center" wrapText="1"/>
    </xf>
    <xf numFmtId="0" fontId="14" fillId="5" borderId="71" xfId="0" applyFont="1" applyFill="1" applyBorder="1" applyAlignment="1">
      <alignment horizontal="center" vertical="center" wrapText="1"/>
    </xf>
    <xf numFmtId="0" fontId="0" fillId="2" borderId="57" xfId="0" applyFill="1" applyBorder="1" applyAlignment="1">
      <alignment horizontal="center" vertical="center" wrapText="1"/>
    </xf>
    <xf numFmtId="0" fontId="0" fillId="12" borderId="62" xfId="0" applyFill="1" applyBorder="1" applyAlignment="1">
      <alignment horizontal="center" vertical="center" wrapText="1"/>
    </xf>
    <xf numFmtId="164" fontId="0" fillId="2" borderId="26" xfId="0" applyNumberFormat="1" applyFill="1" applyBorder="1" applyAlignment="1">
      <alignment horizontal="center" vertical="center" wrapText="1"/>
    </xf>
    <xf numFmtId="164" fontId="0" fillId="2" borderId="77" xfId="0" applyNumberFormat="1" applyFill="1" applyBorder="1" applyAlignment="1">
      <alignment horizontal="center" vertical="center" wrapText="1"/>
    </xf>
    <xf numFmtId="164" fontId="0" fillId="2" borderId="35"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164" fontId="0" fillId="2" borderId="21" xfId="0" applyNumberFormat="1" applyFill="1" applyBorder="1" applyAlignment="1">
      <alignment horizontal="center" vertical="center" wrapText="1"/>
    </xf>
    <xf numFmtId="164" fontId="0" fillId="2" borderId="34" xfId="0" applyNumberFormat="1" applyFill="1" applyBorder="1" applyAlignment="1">
      <alignment horizontal="center" vertical="center" wrapText="1"/>
    </xf>
    <xf numFmtId="0" fontId="14" fillId="12" borderId="27" xfId="0" applyFont="1" applyFill="1" applyBorder="1" applyAlignment="1">
      <alignment horizontal="center" vertical="center" wrapText="1"/>
    </xf>
    <xf numFmtId="0" fontId="0" fillId="2" borderId="48" xfId="0" applyFill="1" applyBorder="1" applyAlignment="1">
      <alignment horizontal="center" vertical="center"/>
    </xf>
    <xf numFmtId="0" fontId="21" fillId="22" borderId="62" xfId="0" applyFont="1" applyFill="1" applyBorder="1" applyAlignment="1">
      <alignment horizontal="center" vertical="center" wrapText="1"/>
    </xf>
    <xf numFmtId="0" fontId="21" fillId="22" borderId="27" xfId="0" applyFont="1" applyFill="1" applyBorder="1" applyAlignment="1">
      <alignment horizontal="center" vertical="center" wrapText="1"/>
    </xf>
    <xf numFmtId="0" fontId="21" fillId="22" borderId="61" xfId="0" applyFont="1" applyFill="1" applyBorder="1" applyAlignment="1">
      <alignment horizontal="center" vertical="center" wrapText="1"/>
    </xf>
    <xf numFmtId="165" fontId="5" fillId="0" borderId="34" xfId="0" applyNumberFormat="1" applyFont="1" applyBorder="1" applyAlignment="1">
      <alignment horizontal="center" vertical="center" wrapText="1"/>
    </xf>
    <xf numFmtId="165" fontId="49" fillId="33" borderId="36" xfId="0" applyNumberFormat="1" applyFont="1" applyFill="1" applyBorder="1" applyAlignment="1">
      <alignment horizontal="center" vertical="center" wrapText="1"/>
    </xf>
    <xf numFmtId="165" fontId="5" fillId="24" borderId="5" xfId="0" applyNumberFormat="1" applyFont="1" applyFill="1" applyBorder="1" applyAlignment="1">
      <alignment horizontal="center" vertical="center" wrapText="1"/>
    </xf>
    <xf numFmtId="165" fontId="49" fillId="33" borderId="6" xfId="0" applyNumberFormat="1" applyFont="1" applyFill="1" applyBorder="1" applyAlignment="1">
      <alignment horizontal="center" vertical="center" wrapText="1"/>
    </xf>
    <xf numFmtId="165" fontId="5" fillId="0" borderId="45" xfId="0" applyNumberFormat="1" applyFont="1" applyBorder="1" applyAlignment="1">
      <alignment horizontal="center" vertical="center" wrapText="1"/>
    </xf>
    <xf numFmtId="165" fontId="49" fillId="33" borderId="56" xfId="0" applyNumberFormat="1" applyFont="1" applyFill="1" applyBorder="1" applyAlignment="1">
      <alignment horizontal="center" vertical="center" wrapText="1"/>
    </xf>
    <xf numFmtId="10" fontId="5" fillId="0" borderId="5" xfId="31" applyNumberFormat="1" applyFont="1" applyFill="1" applyBorder="1" applyAlignment="1">
      <alignment horizontal="center" vertical="center" wrapText="1"/>
    </xf>
    <xf numFmtId="165" fontId="50" fillId="34" borderId="6" xfId="0" applyNumberFormat="1" applyFont="1" applyFill="1" applyBorder="1" applyAlignment="1">
      <alignment horizontal="center" vertical="center" wrapText="1"/>
    </xf>
    <xf numFmtId="10" fontId="5" fillId="0" borderId="45" xfId="31" applyNumberFormat="1" applyFont="1" applyFill="1" applyBorder="1" applyAlignment="1">
      <alignment horizontal="center" vertical="center" wrapText="1"/>
    </xf>
    <xf numFmtId="165" fontId="50" fillId="34" borderId="56" xfId="0" applyNumberFormat="1" applyFont="1" applyFill="1" applyBorder="1" applyAlignment="1">
      <alignment horizontal="center" vertical="center" wrapText="1"/>
    </xf>
    <xf numFmtId="10" fontId="5" fillId="0" borderId="47" xfId="31" applyNumberFormat="1" applyFont="1" applyFill="1" applyBorder="1" applyAlignment="1">
      <alignment horizontal="center" vertical="center" wrapText="1"/>
    </xf>
    <xf numFmtId="165" fontId="50" fillId="34" borderId="55" xfId="0" applyNumberFormat="1" applyFont="1" applyFill="1" applyBorder="1" applyAlignment="1">
      <alignment horizontal="center" vertical="center" wrapText="1"/>
    </xf>
    <xf numFmtId="2" fontId="0" fillId="2" borderId="11" xfId="0" applyNumberFormat="1" applyFill="1" applyBorder="1" applyAlignment="1">
      <alignment horizontal="center" vertical="center" wrapText="1"/>
    </xf>
    <xf numFmtId="0" fontId="0" fillId="2" borderId="56" xfId="0" applyFill="1" applyBorder="1" applyAlignment="1">
      <alignment horizontal="center" vertical="center" wrapText="1"/>
    </xf>
    <xf numFmtId="0" fontId="0" fillId="2" borderId="67" xfId="0" applyFill="1" applyBorder="1" applyAlignment="1">
      <alignment horizontal="center" vertical="center"/>
    </xf>
    <xf numFmtId="0" fontId="0" fillId="0" borderId="24" xfId="0" applyBorder="1"/>
    <xf numFmtId="0" fontId="0" fillId="0" borderId="51" xfId="0" applyBorder="1" applyAlignment="1">
      <alignment horizontal="center" vertical="center" wrapText="1"/>
    </xf>
    <xf numFmtId="0" fontId="0" fillId="0" borderId="69" xfId="0" applyBorder="1" applyAlignment="1">
      <alignment horizontal="center" vertical="center" wrapText="1"/>
    </xf>
    <xf numFmtId="0" fontId="22" fillId="4" borderId="48" xfId="0" applyFont="1" applyFill="1" applyBorder="1" applyAlignment="1" applyProtection="1">
      <alignment horizontal="center" vertical="center"/>
      <protection locked="0"/>
    </xf>
    <xf numFmtId="0" fontId="22" fillId="4" borderId="49" xfId="0" applyFont="1" applyFill="1" applyBorder="1" applyAlignment="1" applyProtection="1">
      <alignment horizontal="center" vertical="center"/>
      <protection locked="0"/>
    </xf>
    <xf numFmtId="0" fontId="22" fillId="4" borderId="50" xfId="0" applyFont="1" applyFill="1" applyBorder="1" applyAlignment="1" applyProtection="1">
      <alignment horizontal="center" vertical="center"/>
      <protection locked="0"/>
    </xf>
    <xf numFmtId="2" fontId="22" fillId="4" borderId="26" xfId="0" applyNumberFormat="1" applyFont="1" applyFill="1" applyBorder="1" applyAlignment="1" applyProtection="1">
      <alignment horizontal="center" vertical="center"/>
      <protection locked="0"/>
    </xf>
    <xf numFmtId="2" fontId="22" fillId="4" borderId="29" xfId="0" applyNumberFormat="1" applyFont="1" applyFill="1" applyBorder="1" applyAlignment="1" applyProtection="1">
      <alignment horizontal="center" vertical="center"/>
      <protection locked="0"/>
    </xf>
    <xf numFmtId="2" fontId="22" fillId="4" borderId="14" xfId="0" applyNumberFormat="1" applyFont="1" applyFill="1" applyBorder="1" applyAlignment="1" applyProtection="1">
      <alignment horizontal="center" vertical="center"/>
      <protection locked="0"/>
    </xf>
    <xf numFmtId="0" fontId="27" fillId="12" borderId="0" xfId="0" applyFont="1" applyFill="1"/>
    <xf numFmtId="0" fontId="5" fillId="7" borderId="26" xfId="0" applyFont="1" applyFill="1" applyBorder="1" applyAlignment="1">
      <alignment horizontal="center" vertical="center" wrapText="1"/>
    </xf>
    <xf numFmtId="0" fontId="30" fillId="7" borderId="29" xfId="0" applyFont="1" applyFill="1" applyBorder="1" applyAlignment="1">
      <alignment horizontal="center" vertical="center" wrapText="1"/>
    </xf>
    <xf numFmtId="0" fontId="17" fillId="7" borderId="29" xfId="0" applyFont="1" applyFill="1" applyBorder="1" applyAlignment="1">
      <alignment horizontal="center" vertical="center" wrapText="1"/>
    </xf>
    <xf numFmtId="0" fontId="17" fillId="7" borderId="14" xfId="0" applyFont="1" applyFill="1" applyBorder="1" applyAlignment="1">
      <alignment horizontal="center" vertical="center" wrapText="1"/>
    </xf>
    <xf numFmtId="0" fontId="30" fillId="12" borderId="0" xfId="0" applyFont="1" applyFill="1" applyAlignment="1">
      <alignment horizontal="center" vertical="center"/>
    </xf>
    <xf numFmtId="0" fontId="30" fillId="12" borderId="0" xfId="0" applyFont="1" applyFill="1" applyAlignment="1">
      <alignment horizontal="center" vertical="center" wrapText="1"/>
    </xf>
    <xf numFmtId="0" fontId="22" fillId="7" borderId="26" xfId="0" applyFont="1" applyFill="1" applyBorder="1" applyAlignment="1">
      <alignment horizontal="center" vertical="center" wrapText="1"/>
    </xf>
    <xf numFmtId="0" fontId="22" fillId="7" borderId="29" xfId="0" applyFont="1" applyFill="1" applyBorder="1" applyAlignment="1">
      <alignment horizontal="center" vertical="center" wrapText="1"/>
    </xf>
    <xf numFmtId="0" fontId="30" fillId="7" borderId="26" xfId="0" applyFont="1" applyFill="1" applyBorder="1" applyAlignment="1">
      <alignment horizontal="center" vertical="center" wrapText="1"/>
    </xf>
    <xf numFmtId="0" fontId="5" fillId="7" borderId="29" xfId="0" applyFont="1" applyFill="1" applyBorder="1" applyAlignment="1">
      <alignment horizontal="center" vertical="center" wrapText="1"/>
    </xf>
    <xf numFmtId="0" fontId="4" fillId="0" borderId="18" xfId="0" applyFont="1" applyBorder="1" applyAlignment="1">
      <alignment horizontal="center" vertical="center" wrapText="1"/>
    </xf>
    <xf numFmtId="0" fontId="0" fillId="12" borderId="0" xfId="0" applyFill="1" applyAlignment="1">
      <alignment horizontal="center" vertical="top" wrapText="1"/>
    </xf>
    <xf numFmtId="0" fontId="0" fillId="30" borderId="11" xfId="0" applyFill="1" applyBorder="1" applyAlignment="1">
      <alignment horizontal="center"/>
    </xf>
    <xf numFmtId="0" fontId="0" fillId="30" borderId="13" xfId="0" applyFill="1" applyBorder="1" applyAlignment="1">
      <alignment horizontal="center"/>
    </xf>
    <xf numFmtId="0" fontId="33" fillId="29" borderId="13" xfId="0" applyFont="1" applyFill="1" applyBorder="1" applyAlignment="1">
      <alignment horizontal="center" vertical="center"/>
    </xf>
    <xf numFmtId="0" fontId="33" fillId="29" borderId="14" xfId="0" applyFont="1" applyFill="1" applyBorder="1" applyAlignment="1">
      <alignment horizontal="center" vertical="center"/>
    </xf>
    <xf numFmtId="0" fontId="33" fillId="29" borderId="27" xfId="0" applyFont="1" applyFill="1" applyBorder="1" applyAlignment="1">
      <alignment horizontal="center" vertical="center"/>
    </xf>
    <xf numFmtId="0" fontId="33" fillId="29" borderId="41" xfId="0" applyFont="1" applyFill="1" applyBorder="1" applyAlignment="1">
      <alignment horizontal="center" vertical="center"/>
    </xf>
    <xf numFmtId="0" fontId="33" fillId="29" borderId="56" xfId="0" applyFont="1" applyFill="1" applyBorder="1" applyAlignment="1">
      <alignment horizontal="center" vertical="center"/>
    </xf>
    <xf numFmtId="0" fontId="25" fillId="26" borderId="45" xfId="0" applyFont="1" applyFill="1" applyBorder="1" applyAlignment="1">
      <alignment horizontal="center" vertical="center"/>
    </xf>
    <xf numFmtId="0" fontId="25" fillId="26" borderId="38" xfId="0" applyFont="1" applyFill="1" applyBorder="1" applyAlignment="1">
      <alignment horizontal="center" vertical="center"/>
    </xf>
    <xf numFmtId="0" fontId="33" fillId="28" borderId="28" xfId="0" applyFont="1" applyFill="1" applyBorder="1" applyAlignment="1">
      <alignment horizontal="center" vertical="center"/>
    </xf>
    <xf numFmtId="0" fontId="33" fillId="28" borderId="18" xfId="0" applyFont="1" applyFill="1" applyBorder="1" applyAlignment="1">
      <alignment horizontal="center" vertical="center"/>
    </xf>
    <xf numFmtId="0" fontId="33" fillId="29" borderId="18" xfId="0" applyFont="1" applyFill="1" applyBorder="1" applyAlignment="1">
      <alignment horizontal="center" vertical="center"/>
    </xf>
    <xf numFmtId="0" fontId="33" fillId="29" borderId="29" xfId="0" applyFont="1" applyFill="1" applyBorder="1" applyAlignment="1">
      <alignment horizontal="center" vertical="center"/>
    </xf>
    <xf numFmtId="0" fontId="23" fillId="31" borderId="59" xfId="0" applyFont="1" applyFill="1" applyBorder="1" applyAlignment="1">
      <alignment horizontal="center" vertical="center"/>
    </xf>
    <xf numFmtId="0" fontId="23" fillId="31" borderId="60" xfId="0" applyFont="1" applyFill="1" applyBorder="1" applyAlignment="1">
      <alignment horizontal="center" vertical="center"/>
    </xf>
    <xf numFmtId="0" fontId="23" fillId="31" borderId="21" xfId="0" applyFont="1" applyFill="1" applyBorder="1" applyAlignment="1">
      <alignment horizontal="center" vertical="center"/>
    </xf>
    <xf numFmtId="0" fontId="23" fillId="31" borderId="23" xfId="0" applyFont="1" applyFill="1" applyBorder="1" applyAlignment="1">
      <alignment horizontal="center" vertical="center"/>
    </xf>
    <xf numFmtId="0" fontId="11" fillId="14" borderId="65" xfId="0" applyFont="1" applyFill="1" applyBorder="1" applyAlignment="1">
      <alignment horizontal="center" vertical="center"/>
    </xf>
    <xf numFmtId="0" fontId="11" fillId="14" borderId="64" xfId="0" applyFont="1" applyFill="1" applyBorder="1" applyAlignment="1">
      <alignment horizontal="center" vertical="center"/>
    </xf>
    <xf numFmtId="0" fontId="11" fillId="14" borderId="80" xfId="0" applyFont="1" applyFill="1" applyBorder="1" applyAlignment="1">
      <alignment horizontal="center" vertical="center"/>
    </xf>
    <xf numFmtId="0" fontId="11" fillId="14" borderId="68" xfId="0" applyFont="1" applyFill="1" applyBorder="1" applyAlignment="1">
      <alignment horizontal="center" vertical="center"/>
    </xf>
    <xf numFmtId="0" fontId="11" fillId="14" borderId="17" xfId="0" applyFont="1" applyFill="1" applyBorder="1" applyAlignment="1">
      <alignment horizontal="center" vertical="center"/>
    </xf>
    <xf numFmtId="0" fontId="11" fillId="14" borderId="46" xfId="0" applyFont="1" applyFill="1" applyBorder="1" applyAlignment="1">
      <alignment horizontal="center" vertical="center"/>
    </xf>
    <xf numFmtId="0" fontId="23" fillId="24" borderId="59" xfId="0" applyFont="1" applyFill="1" applyBorder="1" applyAlignment="1">
      <alignment horizontal="center" vertical="center"/>
    </xf>
    <xf numFmtId="0" fontId="23" fillId="24" borderId="60" xfId="0" applyFont="1" applyFill="1" applyBorder="1" applyAlignment="1">
      <alignment horizontal="center" vertical="center"/>
    </xf>
    <xf numFmtId="0" fontId="23" fillId="24" borderId="21" xfId="0" applyFont="1" applyFill="1" applyBorder="1" applyAlignment="1">
      <alignment horizontal="center" vertical="center"/>
    </xf>
    <xf numFmtId="0" fontId="23" fillId="24" borderId="23" xfId="0" applyFont="1" applyFill="1" applyBorder="1" applyAlignment="1">
      <alignment horizontal="center" vertical="center"/>
    </xf>
    <xf numFmtId="0" fontId="11" fillId="29" borderId="65" xfId="0" applyFont="1" applyFill="1" applyBorder="1" applyAlignment="1">
      <alignment horizontal="center" vertical="center"/>
    </xf>
    <xf numFmtId="0" fontId="11" fillId="29" borderId="64" xfId="0" applyFont="1" applyFill="1" applyBorder="1" applyAlignment="1">
      <alignment horizontal="center" vertical="center"/>
    </xf>
    <xf numFmtId="0" fontId="11" fillId="29" borderId="80" xfId="0" applyFont="1" applyFill="1" applyBorder="1" applyAlignment="1">
      <alignment horizontal="center" vertical="center"/>
    </xf>
    <xf numFmtId="0" fontId="11" fillId="29" borderId="68" xfId="0" applyFont="1" applyFill="1" applyBorder="1" applyAlignment="1">
      <alignment horizontal="center" vertical="center"/>
    </xf>
    <xf numFmtId="0" fontId="11" fillId="29" borderId="17" xfId="0" applyFont="1" applyFill="1" applyBorder="1" applyAlignment="1">
      <alignment horizontal="center" vertical="center"/>
    </xf>
    <xf numFmtId="0" fontId="11" fillId="29" borderId="46" xfId="0" applyFont="1" applyFill="1" applyBorder="1" applyAlignment="1">
      <alignment horizontal="center" vertical="center"/>
    </xf>
    <xf numFmtId="0" fontId="4" fillId="12" borderId="0" xfId="0" applyFont="1" applyFill="1" applyAlignment="1">
      <alignment horizontal="center"/>
    </xf>
    <xf numFmtId="0" fontId="0" fillId="12" borderId="0" xfId="0" applyFill="1" applyAlignment="1">
      <alignment horizontal="center" vertical="top"/>
    </xf>
    <xf numFmtId="0" fontId="0" fillId="12" borderId="0" xfId="0" applyFill="1" applyAlignment="1">
      <alignment horizontal="left" vertical="top" wrapText="1"/>
    </xf>
    <xf numFmtId="0" fontId="6" fillId="12" borderId="0" xfId="0" applyFont="1" applyFill="1" applyAlignment="1">
      <alignment horizontal="center"/>
    </xf>
    <xf numFmtId="0" fontId="16" fillId="0" borderId="30" xfId="0" applyFont="1" applyBorder="1" applyAlignment="1" applyProtection="1">
      <alignment horizontal="center" vertical="center" wrapText="1"/>
      <protection locked="0"/>
    </xf>
    <xf numFmtId="0" fontId="16" fillId="0" borderId="75" xfId="0" applyFont="1" applyBorder="1" applyAlignment="1" applyProtection="1">
      <alignment horizontal="center" vertical="center" wrapText="1"/>
      <protection locked="0"/>
    </xf>
    <xf numFmtId="0" fontId="16" fillId="0" borderId="21" xfId="0" applyFont="1" applyBorder="1" applyAlignment="1" applyProtection="1">
      <alignment horizontal="center" vertical="center" wrapText="1"/>
      <protection locked="0"/>
    </xf>
    <xf numFmtId="0" fontId="16" fillId="0" borderId="23" xfId="0" applyFont="1" applyBorder="1" applyAlignment="1" applyProtection="1">
      <alignment horizontal="center" vertical="center" wrapText="1"/>
      <protection locked="0"/>
    </xf>
    <xf numFmtId="0" fontId="11" fillId="14" borderId="74" xfId="0" applyFont="1" applyFill="1" applyBorder="1" applyAlignment="1">
      <alignment horizontal="center" vertical="center"/>
    </xf>
    <xf numFmtId="0" fontId="11" fillId="14" borderId="31" xfId="0" applyFont="1" applyFill="1" applyBorder="1" applyAlignment="1">
      <alignment horizontal="center" vertical="center"/>
    </xf>
    <xf numFmtId="0" fontId="11" fillId="14" borderId="32" xfId="0" applyFont="1" applyFill="1" applyBorder="1" applyAlignment="1">
      <alignment horizontal="center" vertical="center"/>
    </xf>
    <xf numFmtId="0" fontId="42" fillId="12" borderId="0" xfId="0" applyFont="1" applyFill="1" applyAlignment="1">
      <alignment horizontal="center" vertical="center"/>
    </xf>
    <xf numFmtId="0" fontId="8" fillId="12" borderId="0" xfId="0" applyFont="1" applyFill="1" applyAlignment="1">
      <alignment horizontal="center" vertical="center" wrapText="1"/>
    </xf>
    <xf numFmtId="0" fontId="8" fillId="12" borderId="0" xfId="0" applyFont="1" applyFill="1" applyAlignment="1">
      <alignment horizontal="center" vertical="center"/>
    </xf>
    <xf numFmtId="0" fontId="26" fillId="12" borderId="0" xfId="0" applyFont="1" applyFill="1" applyAlignment="1">
      <alignment horizontal="center" vertical="center"/>
    </xf>
    <xf numFmtId="0" fontId="2" fillId="12" borderId="0" xfId="0" applyFont="1" applyFill="1" applyAlignment="1">
      <alignment horizontal="center"/>
    </xf>
    <xf numFmtId="49" fontId="4" fillId="12" borderId="0" xfId="0" applyNumberFormat="1" applyFont="1" applyFill="1" applyAlignment="1">
      <alignment horizontal="center"/>
    </xf>
    <xf numFmtId="0" fontId="39" fillId="12" borderId="0" xfId="0" applyFont="1" applyFill="1" applyAlignment="1">
      <alignment horizontal="center" vertical="center"/>
    </xf>
    <xf numFmtId="0" fontId="20" fillId="5" borderId="5" xfId="0" applyFont="1" applyFill="1" applyBorder="1" applyAlignment="1">
      <alignment horizontal="center" vertical="center"/>
    </xf>
    <xf numFmtId="0" fontId="20" fillId="5" borderId="6" xfId="0" applyFont="1" applyFill="1" applyBorder="1" applyAlignment="1">
      <alignment horizontal="center" vertical="center"/>
    </xf>
    <xf numFmtId="0" fontId="20" fillId="5" borderId="47" xfId="0" applyFont="1" applyFill="1" applyBorder="1" applyAlignment="1">
      <alignment horizontal="center" vertical="center"/>
    </xf>
    <xf numFmtId="0" fontId="20" fillId="5" borderId="55" xfId="0" applyFont="1" applyFill="1" applyBorder="1" applyAlignment="1">
      <alignment horizontal="center" vertical="center"/>
    </xf>
    <xf numFmtId="0" fontId="15" fillId="5" borderId="4" xfId="0" applyFont="1" applyFill="1" applyBorder="1" applyAlignment="1">
      <alignment horizontal="center" vertical="center" wrapText="1"/>
    </xf>
    <xf numFmtId="0" fontId="15" fillId="5" borderId="58" xfId="0" applyFont="1" applyFill="1" applyBorder="1" applyAlignment="1">
      <alignment horizontal="center" vertical="center" wrapText="1"/>
    </xf>
    <xf numFmtId="0" fontId="15" fillId="5" borderId="10" xfId="0" applyFont="1" applyFill="1" applyBorder="1" applyAlignment="1">
      <alignment horizontal="center" vertical="center" wrapText="1"/>
    </xf>
    <xf numFmtId="0" fontId="5" fillId="12" borderId="33" xfId="0" applyFont="1" applyFill="1" applyBorder="1" applyAlignment="1">
      <alignment horizontal="center" vertical="center"/>
    </xf>
    <xf numFmtId="0" fontId="5" fillId="12" borderId="0" xfId="0" applyFont="1" applyFill="1" applyAlignment="1">
      <alignment horizontal="center" vertical="center"/>
    </xf>
    <xf numFmtId="0" fontId="5" fillId="12" borderId="0" xfId="0" applyFont="1" applyFill="1" applyAlignment="1">
      <alignment horizontal="center" vertical="center" wrapText="1"/>
    </xf>
    <xf numFmtId="0" fontId="20" fillId="5" borderId="45" xfId="0" applyFont="1" applyFill="1" applyBorder="1" applyAlignment="1">
      <alignment horizontal="center" vertical="center"/>
    </xf>
    <xf numFmtId="0" fontId="20" fillId="5" borderId="56" xfId="0" applyFont="1" applyFill="1" applyBorder="1" applyAlignment="1">
      <alignment horizontal="center" vertical="center"/>
    </xf>
    <xf numFmtId="0" fontId="20" fillId="5" borderId="1" xfId="0" applyFont="1" applyFill="1" applyBorder="1" applyAlignment="1">
      <alignment horizontal="center" vertical="center"/>
    </xf>
    <xf numFmtId="0" fontId="20" fillId="5" borderId="40" xfId="0" applyFont="1" applyFill="1" applyBorder="1" applyAlignment="1">
      <alignment horizontal="center" vertical="center"/>
    </xf>
    <xf numFmtId="0" fontId="17" fillId="0" borderId="61" xfId="0" applyFont="1" applyBorder="1" applyAlignment="1" applyProtection="1">
      <alignment horizontal="center" vertical="center" wrapText="1"/>
      <protection locked="0"/>
    </xf>
    <xf numFmtId="0" fontId="17" fillId="0" borderId="55" xfId="0" applyFont="1" applyBorder="1" applyAlignment="1" applyProtection="1">
      <alignment horizontal="center" vertical="center" wrapText="1"/>
      <protection locked="0"/>
    </xf>
    <xf numFmtId="0" fontId="0" fillId="0" borderId="53" xfId="0" applyBorder="1" applyAlignment="1" applyProtection="1">
      <alignment horizontal="center" wrapText="1"/>
      <protection locked="0"/>
    </xf>
    <xf numFmtId="0" fontId="0" fillId="0" borderId="9" xfId="0" applyBorder="1" applyAlignment="1" applyProtection="1">
      <alignment horizontal="center" wrapText="1"/>
      <protection locked="0"/>
    </xf>
    <xf numFmtId="0" fontId="20" fillId="22" borderId="39" xfId="0" applyFont="1" applyFill="1" applyBorder="1" applyAlignment="1">
      <alignment horizontal="center" vertical="center"/>
    </xf>
    <xf numFmtId="0" fontId="20" fillId="22" borderId="26" xfId="0" applyFont="1" applyFill="1" applyBorder="1" applyAlignment="1">
      <alignment horizontal="center" vertical="center"/>
    </xf>
    <xf numFmtId="0" fontId="20" fillId="22" borderId="13" xfId="0" applyFont="1" applyFill="1" applyBorder="1" applyAlignment="1">
      <alignment horizontal="center" vertical="center"/>
    </xf>
    <xf numFmtId="0" fontId="20" fillId="22" borderId="14" xfId="0" applyFont="1" applyFill="1" applyBorder="1" applyAlignment="1">
      <alignment horizontal="center" vertical="center"/>
    </xf>
    <xf numFmtId="0" fontId="2" fillId="12" borderId="33" xfId="0" applyFont="1" applyFill="1" applyBorder="1" applyAlignment="1">
      <alignment horizontal="center" vertical="center" wrapText="1"/>
    </xf>
    <xf numFmtId="0" fontId="2" fillId="12" borderId="0" xfId="0" applyFont="1" applyFill="1" applyAlignment="1">
      <alignment horizontal="center" vertical="center" wrapText="1"/>
    </xf>
    <xf numFmtId="0" fontId="17" fillId="0" borderId="27" xfId="0" applyFont="1" applyBorder="1" applyAlignment="1" applyProtection="1">
      <alignment horizontal="center" vertical="center" wrapText="1"/>
      <protection locked="0"/>
    </xf>
    <xf numFmtId="0" fontId="17" fillId="0" borderId="56" xfId="0" applyFont="1" applyBorder="1" applyAlignment="1" applyProtection="1">
      <alignment horizontal="center" vertical="center" wrapText="1"/>
      <protection locked="0"/>
    </xf>
    <xf numFmtId="0" fontId="12" fillId="22" borderId="25" xfId="0" applyFont="1" applyFill="1" applyBorder="1" applyAlignment="1">
      <alignment horizontal="center" vertical="center"/>
    </xf>
    <xf numFmtId="0" fontId="12" fillId="22" borderId="11" xfId="0" applyFont="1" applyFill="1" applyBorder="1" applyAlignment="1">
      <alignment horizontal="center" vertical="center"/>
    </xf>
    <xf numFmtId="0" fontId="12" fillId="22" borderId="20" xfId="0" applyFont="1" applyFill="1" applyBorder="1" applyAlignment="1">
      <alignment horizontal="center" vertical="center"/>
    </xf>
    <xf numFmtId="0" fontId="12" fillId="22" borderId="15" xfId="0" applyFont="1" applyFill="1" applyBorder="1" applyAlignment="1">
      <alignment horizontal="center" vertical="center"/>
    </xf>
    <xf numFmtId="0" fontId="20" fillId="5" borderId="25" xfId="0" applyFont="1" applyFill="1" applyBorder="1" applyAlignment="1">
      <alignment horizontal="center"/>
    </xf>
    <xf numFmtId="0" fontId="20" fillId="5" borderId="39" xfId="0" applyFont="1" applyFill="1" applyBorder="1" applyAlignment="1">
      <alignment horizontal="center"/>
    </xf>
    <xf numFmtId="0" fontId="26" fillId="12" borderId="33" xfId="0" applyFont="1" applyFill="1" applyBorder="1" applyAlignment="1">
      <alignment horizontal="center" vertical="center"/>
    </xf>
    <xf numFmtId="0" fontId="20" fillId="5" borderId="11" xfId="0" applyFont="1" applyFill="1" applyBorder="1" applyAlignment="1">
      <alignment horizontal="center"/>
    </xf>
    <xf numFmtId="0" fontId="20" fillId="5" borderId="13" xfId="0" applyFont="1" applyFill="1" applyBorder="1" applyAlignment="1">
      <alignment horizontal="center"/>
    </xf>
    <xf numFmtId="0" fontId="33" fillId="0" borderId="0" xfId="0" applyFont="1" applyAlignment="1">
      <alignment horizontal="center" vertical="center" wrapText="1"/>
    </xf>
    <xf numFmtId="0" fontId="15" fillId="22" borderId="45" xfId="0" applyFont="1" applyFill="1" applyBorder="1" applyAlignment="1">
      <alignment horizontal="center" vertical="center" wrapText="1"/>
    </xf>
    <xf numFmtId="0" fontId="15" fillId="22" borderId="41" xfId="0" applyFont="1" applyFill="1" applyBorder="1" applyAlignment="1">
      <alignment horizontal="center" vertical="center" wrapText="1"/>
    </xf>
    <xf numFmtId="0" fontId="15" fillId="22" borderId="38" xfId="0" applyFont="1" applyFill="1" applyBorder="1" applyAlignment="1">
      <alignment horizontal="center" vertical="center" wrapText="1"/>
    </xf>
    <xf numFmtId="0" fontId="10" fillId="3" borderId="0" xfId="0" applyFont="1" applyFill="1" applyAlignment="1">
      <alignment horizontal="center" vertical="center" textRotation="90"/>
    </xf>
    <xf numFmtId="0" fontId="15" fillId="22" borderId="47" xfId="0" applyFont="1" applyFill="1" applyBorder="1" applyAlignment="1">
      <alignment horizontal="center" vertical="center" wrapText="1"/>
    </xf>
    <xf numFmtId="0" fontId="15" fillId="22" borderId="42" xfId="0" applyFont="1" applyFill="1" applyBorder="1" applyAlignment="1">
      <alignment horizontal="center" vertical="center" wrapText="1"/>
    </xf>
    <xf numFmtId="0" fontId="15" fillId="22" borderId="12" xfId="0" applyFont="1" applyFill="1" applyBorder="1" applyAlignment="1">
      <alignment horizontal="center" vertical="center" wrapText="1"/>
    </xf>
    <xf numFmtId="165" fontId="23" fillId="7" borderId="61" xfId="0" applyNumberFormat="1" applyFont="1" applyFill="1" applyBorder="1" applyAlignment="1">
      <alignment horizontal="center" vertical="center" wrapText="1"/>
    </xf>
    <xf numFmtId="165" fontId="23" fillId="7" borderId="42" xfId="0" applyNumberFormat="1" applyFont="1" applyFill="1" applyBorder="1" applyAlignment="1">
      <alignment horizontal="center" vertical="center" wrapText="1"/>
    </xf>
    <xf numFmtId="165" fontId="23" fillId="7" borderId="12" xfId="0" applyNumberFormat="1" applyFont="1" applyFill="1" applyBorder="1" applyAlignment="1">
      <alignment horizontal="center" vertical="center" wrapText="1"/>
    </xf>
    <xf numFmtId="0" fontId="20" fillId="5" borderId="47" xfId="0" applyFont="1" applyFill="1" applyBorder="1" applyAlignment="1">
      <alignment horizontal="center" vertical="center" wrapText="1"/>
    </xf>
    <xf numFmtId="0" fontId="20" fillId="5" borderId="42" xfId="0" applyFont="1" applyFill="1" applyBorder="1" applyAlignment="1">
      <alignment horizontal="center" vertical="center" wrapText="1"/>
    </xf>
    <xf numFmtId="0" fontId="20" fillId="5" borderId="12" xfId="0" applyFont="1" applyFill="1" applyBorder="1" applyAlignment="1">
      <alignment horizontal="center" vertical="center" wrapText="1"/>
    </xf>
    <xf numFmtId="0" fontId="5" fillId="0" borderId="42" xfId="0" applyFont="1" applyBorder="1" applyAlignment="1">
      <alignment horizontal="center" vertical="center"/>
    </xf>
    <xf numFmtId="0" fontId="5" fillId="0" borderId="55" xfId="0" applyFont="1" applyBorder="1" applyAlignment="1">
      <alignment horizontal="center" vertical="center"/>
    </xf>
    <xf numFmtId="0" fontId="15" fillId="5" borderId="25" xfId="0" applyFont="1" applyFill="1" applyBorder="1" applyAlignment="1">
      <alignment horizontal="center" vertical="center" wrapText="1"/>
    </xf>
    <xf numFmtId="0" fontId="15" fillId="5" borderId="39" xfId="0" applyFont="1" applyFill="1" applyBorder="1" applyAlignment="1">
      <alignment horizontal="center" vertical="center" wrapText="1"/>
    </xf>
    <xf numFmtId="0" fontId="15" fillId="22" borderId="59" xfId="0" applyFont="1" applyFill="1" applyBorder="1" applyAlignment="1">
      <alignment horizontal="center" vertical="center" wrapText="1"/>
    </xf>
    <xf numFmtId="0" fontId="15" fillId="22" borderId="64" xfId="0" applyFont="1" applyFill="1" applyBorder="1" applyAlignment="1">
      <alignment horizontal="center" vertical="center" wrapText="1"/>
    </xf>
    <xf numFmtId="0" fontId="15" fillId="22" borderId="60" xfId="0" applyFont="1" applyFill="1" applyBorder="1" applyAlignment="1">
      <alignment horizontal="center" vertical="center" wrapText="1"/>
    </xf>
    <xf numFmtId="0" fontId="15" fillId="22" borderId="21" xfId="0" applyFont="1" applyFill="1" applyBorder="1" applyAlignment="1">
      <alignment horizontal="center" vertical="center" wrapText="1"/>
    </xf>
    <xf numFmtId="0" fontId="15" fillId="22" borderId="17" xfId="0" applyFont="1" applyFill="1" applyBorder="1" applyAlignment="1">
      <alignment horizontal="center" vertical="center" wrapText="1"/>
    </xf>
    <xf numFmtId="0" fontId="15" fillId="22" borderId="23" xfId="0" applyFont="1" applyFill="1" applyBorder="1" applyAlignment="1">
      <alignment horizontal="center" vertical="center" wrapText="1"/>
    </xf>
    <xf numFmtId="0" fontId="15" fillId="22" borderId="33" xfId="0" applyFont="1" applyFill="1" applyBorder="1" applyAlignment="1">
      <alignment horizontal="center" vertical="center" wrapText="1"/>
    </xf>
    <xf numFmtId="0" fontId="15" fillId="22" borderId="0" xfId="0" applyFont="1" applyFill="1" applyAlignment="1">
      <alignment horizontal="center" vertical="center" wrapText="1"/>
    </xf>
    <xf numFmtId="0" fontId="15" fillId="22" borderId="34" xfId="0" applyFont="1" applyFill="1" applyBorder="1" applyAlignment="1">
      <alignment horizontal="center" vertical="center" wrapText="1"/>
    </xf>
    <xf numFmtId="0" fontId="15" fillId="22" borderId="35" xfId="0" applyFont="1" applyFill="1" applyBorder="1" applyAlignment="1">
      <alignment horizontal="center" vertical="center" wrapText="1"/>
    </xf>
    <xf numFmtId="0" fontId="15" fillId="22" borderId="57" xfId="0"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3" xfId="0" applyFont="1" applyFill="1" applyBorder="1" applyAlignment="1">
      <alignment horizontal="center" vertical="center" wrapText="1"/>
    </xf>
    <xf numFmtId="0" fontId="20" fillId="5" borderId="67" xfId="0" applyFont="1" applyFill="1" applyBorder="1" applyAlignment="1">
      <alignment horizontal="center" vertical="center" wrapText="1"/>
    </xf>
    <xf numFmtId="0" fontId="12" fillId="22" borderId="61" xfId="0" applyFont="1" applyFill="1" applyBorder="1" applyAlignment="1">
      <alignment horizontal="center" vertical="center"/>
    </xf>
    <xf numFmtId="1" fontId="2" fillId="24" borderId="61" xfId="0" applyNumberFormat="1" applyFont="1" applyFill="1" applyBorder="1" applyAlignment="1">
      <alignment horizontal="center" vertical="center" wrapText="1"/>
    </xf>
    <xf numFmtId="1" fontId="2" fillId="24" borderId="12" xfId="0" applyNumberFormat="1" applyFont="1" applyFill="1" applyBorder="1" applyAlignment="1">
      <alignment horizontal="center" vertical="center" wrapText="1"/>
    </xf>
    <xf numFmtId="1" fontId="2" fillId="24" borderId="55" xfId="0" applyNumberFormat="1" applyFont="1" applyFill="1" applyBorder="1" applyAlignment="1">
      <alignment horizontal="center" vertical="center" wrapText="1"/>
    </xf>
    <xf numFmtId="1" fontId="2" fillId="24" borderId="13" xfId="0" applyNumberFormat="1" applyFont="1" applyFill="1" applyBorder="1" applyAlignment="1">
      <alignment horizontal="center" vertical="center" wrapText="1"/>
    </xf>
    <xf numFmtId="0" fontId="2" fillId="12" borderId="31" xfId="0" applyFont="1" applyFill="1" applyBorder="1" applyAlignment="1">
      <alignment horizontal="center" vertical="center"/>
    </xf>
    <xf numFmtId="0" fontId="10" fillId="3" borderId="0" xfId="0" applyFont="1" applyFill="1" applyAlignment="1">
      <alignment horizontal="center" vertical="center"/>
    </xf>
    <xf numFmtId="0" fontId="5" fillId="0" borderId="63" xfId="0" applyFont="1" applyBorder="1" applyAlignment="1">
      <alignment horizontal="center" vertical="center"/>
    </xf>
    <xf numFmtId="0" fontId="5" fillId="0" borderId="6" xfId="0" applyFont="1" applyBorder="1" applyAlignment="1">
      <alignment horizontal="center" vertical="center"/>
    </xf>
    <xf numFmtId="0" fontId="12" fillId="22" borderId="45" xfId="0" applyFont="1" applyFill="1" applyBorder="1" applyAlignment="1">
      <alignment horizontal="center" vertical="center"/>
    </xf>
    <xf numFmtId="0" fontId="12" fillId="22" borderId="56" xfId="0" applyFont="1" applyFill="1" applyBorder="1" applyAlignment="1">
      <alignment horizontal="center" vertical="center"/>
    </xf>
    <xf numFmtId="1" fontId="0" fillId="0" borderId="27" xfId="0" applyNumberFormat="1" applyBorder="1" applyAlignment="1" applyProtection="1">
      <alignment horizontal="center" vertical="center" wrapText="1"/>
      <protection locked="0"/>
    </xf>
    <xf numFmtId="1" fontId="0" fillId="0" borderId="38" xfId="0" applyNumberFormat="1" applyBorder="1" applyAlignment="1" applyProtection="1">
      <alignment horizontal="center" vertical="center" wrapText="1"/>
      <protection locked="0"/>
    </xf>
    <xf numFmtId="1" fontId="0" fillId="0" borderId="27" xfId="0" applyNumberFormat="1" applyBorder="1" applyAlignment="1" applyProtection="1">
      <alignment horizontal="center" vertical="center"/>
      <protection locked="0"/>
    </xf>
    <xf numFmtId="1" fontId="0" fillId="0" borderId="56" xfId="0" applyNumberFormat="1" applyBorder="1" applyAlignment="1" applyProtection="1">
      <alignment horizontal="center" vertical="center"/>
      <protection locked="0"/>
    </xf>
    <xf numFmtId="1" fontId="0" fillId="2" borderId="45" xfId="0" applyNumberFormat="1" applyFill="1" applyBorder="1" applyAlignment="1">
      <alignment horizontal="center" vertical="center" wrapText="1"/>
    </xf>
    <xf numFmtId="1" fontId="0" fillId="2" borderId="41" xfId="0" applyNumberFormat="1" applyFill="1" applyBorder="1" applyAlignment="1">
      <alignment horizontal="center" vertical="center" wrapText="1"/>
    </xf>
    <xf numFmtId="1" fontId="0" fillId="2" borderId="38" xfId="0" applyNumberFormat="1" applyFill="1" applyBorder="1" applyAlignment="1">
      <alignment horizontal="center" vertical="center" wrapText="1"/>
    </xf>
    <xf numFmtId="1" fontId="0" fillId="2" borderId="27" xfId="0" applyNumberFormat="1" applyFill="1" applyBorder="1" applyAlignment="1">
      <alignment horizontal="center" vertical="center" wrapText="1"/>
    </xf>
    <xf numFmtId="1" fontId="0" fillId="2" borderId="56" xfId="0" applyNumberFormat="1" applyFill="1" applyBorder="1" applyAlignment="1">
      <alignment horizontal="center" vertical="center" wrapText="1"/>
    </xf>
    <xf numFmtId="0" fontId="12" fillId="22" borderId="5" xfId="0" applyFont="1" applyFill="1" applyBorder="1" applyAlignment="1">
      <alignment horizontal="center" vertical="center"/>
    </xf>
    <xf numFmtId="0" fontId="12" fillId="22" borderId="6" xfId="0" applyFont="1" applyFill="1" applyBorder="1" applyAlignment="1">
      <alignment horizontal="center" vertical="center"/>
    </xf>
    <xf numFmtId="1" fontId="0" fillId="0" borderId="62" xfId="0" applyNumberFormat="1" applyBorder="1" applyAlignment="1" applyProtection="1">
      <alignment horizontal="center" vertical="center" wrapText="1"/>
      <protection locked="0"/>
    </xf>
    <xf numFmtId="1" fontId="0" fillId="0" borderId="67" xfId="0" applyNumberFormat="1" applyBorder="1" applyAlignment="1" applyProtection="1">
      <alignment horizontal="center" vertical="center" wrapText="1"/>
      <protection locked="0"/>
    </xf>
    <xf numFmtId="1" fontId="0" fillId="0" borderId="62" xfId="0" applyNumberFormat="1" applyBorder="1" applyAlignment="1" applyProtection="1">
      <alignment horizontal="center" vertical="center"/>
      <protection locked="0"/>
    </xf>
    <xf numFmtId="1" fontId="0" fillId="0" borderId="6" xfId="0" applyNumberFormat="1" applyBorder="1" applyAlignment="1" applyProtection="1">
      <alignment horizontal="center" vertical="center"/>
      <protection locked="0"/>
    </xf>
    <xf numFmtId="1" fontId="0" fillId="2" borderId="5" xfId="0" applyNumberFormat="1" applyFill="1" applyBorder="1" applyAlignment="1">
      <alignment horizontal="center" vertical="center" wrapText="1"/>
    </xf>
    <xf numFmtId="1" fontId="0" fillId="2" borderId="63" xfId="0" applyNumberFormat="1" applyFill="1" applyBorder="1" applyAlignment="1">
      <alignment horizontal="center" vertical="center" wrapText="1"/>
    </xf>
    <xf numFmtId="1" fontId="0" fillId="2" borderId="67" xfId="0" applyNumberFormat="1" applyFill="1" applyBorder="1" applyAlignment="1">
      <alignment horizontal="center" vertical="center" wrapText="1"/>
    </xf>
    <xf numFmtId="1" fontId="0" fillId="2" borderId="62" xfId="0" applyNumberFormat="1" applyFill="1" applyBorder="1" applyAlignment="1">
      <alignment horizontal="center" vertical="center" wrapText="1"/>
    </xf>
    <xf numFmtId="1" fontId="0" fillId="2" borderId="6" xfId="0" applyNumberFormat="1" applyFill="1" applyBorder="1" applyAlignment="1">
      <alignment horizontal="center" vertical="center" wrapText="1"/>
    </xf>
    <xf numFmtId="0" fontId="4" fillId="7" borderId="44"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7" borderId="8" xfId="0" applyFont="1" applyFill="1" applyBorder="1" applyAlignment="1">
      <alignment horizontal="center" vertical="center"/>
    </xf>
    <xf numFmtId="0" fontId="4" fillId="7" borderId="9" xfId="0" applyFont="1" applyFill="1" applyBorder="1" applyAlignment="1">
      <alignment horizontal="center" vertical="center"/>
    </xf>
    <xf numFmtId="165" fontId="0" fillId="24" borderId="44" xfId="0" applyNumberFormat="1" applyFill="1" applyBorder="1" applyAlignment="1">
      <alignment horizontal="center" vertical="center" wrapText="1"/>
    </xf>
    <xf numFmtId="165" fontId="0" fillId="24" borderId="3" xfId="0" applyNumberFormat="1" applyFill="1" applyBorder="1" applyAlignment="1">
      <alignment horizontal="center" vertical="center" wrapText="1"/>
    </xf>
    <xf numFmtId="165" fontId="0" fillId="24" borderId="1" xfId="0" applyNumberFormat="1" applyFill="1" applyBorder="1" applyAlignment="1">
      <alignment horizontal="center" vertical="center" wrapText="1"/>
    </xf>
    <xf numFmtId="0" fontId="12" fillId="5" borderId="30"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12" fillId="5" borderId="36" xfId="0" applyFont="1" applyFill="1" applyBorder="1" applyAlignment="1">
      <alignment horizontal="center" vertical="center" wrapText="1"/>
    </xf>
    <xf numFmtId="0" fontId="12" fillId="5" borderId="78" xfId="0" applyFont="1" applyFill="1" applyBorder="1" applyAlignment="1">
      <alignment horizontal="center" vertical="center" wrapText="1"/>
    </xf>
    <xf numFmtId="0" fontId="12" fillId="5" borderId="76" xfId="0" applyFont="1" applyFill="1" applyBorder="1" applyAlignment="1">
      <alignment horizontal="center" vertical="center" wrapText="1"/>
    </xf>
    <xf numFmtId="0" fontId="12" fillId="5" borderId="74" xfId="0" applyFont="1" applyFill="1" applyBorder="1" applyAlignment="1">
      <alignment horizontal="center" vertical="center" wrapText="1"/>
    </xf>
    <xf numFmtId="0" fontId="12" fillId="5" borderId="75"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12" fillId="5" borderId="57" xfId="0" applyFont="1" applyFill="1" applyBorder="1" applyAlignment="1">
      <alignment horizontal="center" vertical="center" wrapText="1"/>
    </xf>
    <xf numFmtId="0" fontId="12" fillId="5" borderId="5" xfId="0" applyFont="1" applyFill="1" applyBorder="1" applyAlignment="1">
      <alignment horizontal="center" vertical="center"/>
    </xf>
    <xf numFmtId="0" fontId="12" fillId="5" borderId="63" xfId="0" applyFont="1" applyFill="1" applyBorder="1" applyAlignment="1">
      <alignment horizontal="center" vertical="center"/>
    </xf>
    <xf numFmtId="0" fontId="12" fillId="5" borderId="6" xfId="0" applyFont="1" applyFill="1" applyBorder="1" applyAlignment="1">
      <alignment horizontal="center" vertical="center"/>
    </xf>
    <xf numFmtId="0" fontId="12" fillId="5" borderId="47" xfId="0" applyFont="1" applyFill="1" applyBorder="1" applyAlignment="1">
      <alignment horizontal="center" vertical="center" wrapText="1"/>
    </xf>
    <xf numFmtId="0" fontId="12" fillId="5" borderId="4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12" fillId="5" borderId="55" xfId="0" applyFont="1" applyFill="1" applyBorder="1" applyAlignment="1">
      <alignment horizontal="center" vertical="center" wrapText="1"/>
    </xf>
    <xf numFmtId="0" fontId="4" fillId="0" borderId="18"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0" fontId="4" fillId="7" borderId="28" xfId="0" applyFont="1" applyFill="1" applyBorder="1" applyAlignment="1">
      <alignment horizontal="center" vertical="center"/>
    </xf>
    <xf numFmtId="0" fontId="4" fillId="7" borderId="29" xfId="0" applyFont="1" applyFill="1" applyBorder="1" applyAlignment="1">
      <alignment horizontal="center" vertical="center"/>
    </xf>
    <xf numFmtId="165" fontId="0" fillId="24" borderId="24" xfId="0" applyNumberFormat="1" applyFill="1" applyBorder="1" applyAlignment="1">
      <alignment horizontal="center" vertical="center" wrapText="1"/>
    </xf>
    <xf numFmtId="165" fontId="0" fillId="24" borderId="19" xfId="0" applyNumberFormat="1" applyFill="1" applyBorder="1" applyAlignment="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7" borderId="11" xfId="0" applyFont="1" applyFill="1" applyBorder="1" applyAlignment="1">
      <alignment horizontal="center" vertical="center"/>
    </xf>
    <xf numFmtId="0" fontId="4" fillId="7" borderId="14" xfId="0" applyFont="1" applyFill="1" applyBorder="1" applyAlignment="1">
      <alignment horizontal="center" vertical="center"/>
    </xf>
    <xf numFmtId="165" fontId="0" fillId="24" borderId="69" xfId="0" applyNumberFormat="1" applyFill="1" applyBorder="1" applyAlignment="1">
      <alignment horizontal="center" vertical="center" wrapText="1"/>
    </xf>
    <xf numFmtId="165" fontId="0" fillId="24" borderId="77" xfId="0" applyNumberFormat="1" applyFill="1" applyBorder="1" applyAlignment="1">
      <alignment horizontal="center" vertical="center" wrapText="1"/>
    </xf>
    <xf numFmtId="0" fontId="14" fillId="5" borderId="1" xfId="0" applyFont="1" applyFill="1" applyBorder="1" applyAlignment="1">
      <alignment horizontal="center" vertical="center"/>
    </xf>
    <xf numFmtId="0" fontId="14" fillId="5" borderId="2" xfId="0" applyFont="1" applyFill="1" applyBorder="1" applyAlignment="1">
      <alignment horizontal="center" vertical="center"/>
    </xf>
    <xf numFmtId="0" fontId="14" fillId="5" borderId="3" xfId="0" applyFont="1" applyFill="1" applyBorder="1" applyAlignment="1">
      <alignment horizontal="center" vertical="center"/>
    </xf>
    <xf numFmtId="0" fontId="14" fillId="5" borderId="4"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1"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4" fillId="0" borderId="24"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2" fontId="0" fillId="24" borderId="1" xfId="0" applyNumberFormat="1" applyFill="1" applyBorder="1" applyAlignment="1">
      <alignment horizontal="center" vertical="center" wrapText="1"/>
    </xf>
    <xf numFmtId="2" fontId="0" fillId="24" borderId="2" xfId="0" applyNumberFormat="1" applyFill="1" applyBorder="1" applyAlignment="1">
      <alignment horizontal="center" vertical="center" wrapText="1"/>
    </xf>
    <xf numFmtId="2" fontId="0" fillId="24" borderId="3" xfId="0" applyNumberFormat="1" applyFill="1" applyBorder="1" applyAlignment="1">
      <alignment horizontal="center" vertical="center" wrapText="1"/>
    </xf>
    <xf numFmtId="165" fontId="0" fillId="24" borderId="2" xfId="0" applyNumberFormat="1" applyFill="1" applyBorder="1" applyAlignment="1">
      <alignment horizontal="center" vertical="center"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12" fillId="5" borderId="4"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2" fillId="5" borderId="25" xfId="0" applyFont="1" applyFill="1" applyBorder="1" applyAlignment="1">
      <alignment horizontal="center" vertical="center" wrapText="1"/>
    </xf>
    <xf numFmtId="0" fontId="12" fillId="5" borderId="39" xfId="0" applyFont="1" applyFill="1" applyBorder="1" applyAlignment="1">
      <alignment horizontal="center" vertical="center" wrapText="1"/>
    </xf>
    <xf numFmtId="0" fontId="12" fillId="5" borderId="26"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6"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39"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14" fillId="5" borderId="63"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4" fillId="16" borderId="45" xfId="0" applyFont="1" applyFill="1" applyBorder="1" applyAlignment="1" applyProtection="1">
      <alignment horizontal="center" vertical="center"/>
      <protection locked="0"/>
    </xf>
    <xf numFmtId="0" fontId="4" fillId="16" borderId="56" xfId="0" applyFont="1" applyFill="1" applyBorder="1" applyAlignment="1" applyProtection="1">
      <alignment horizontal="center" vertical="center"/>
      <protection locked="0"/>
    </xf>
    <xf numFmtId="2" fontId="0" fillId="0" borderId="21" xfId="0" applyNumberFormat="1" applyBorder="1" applyAlignment="1" applyProtection="1">
      <alignment horizontal="center" vertical="center" wrapText="1"/>
      <protection locked="0"/>
    </xf>
    <xf numFmtId="2" fontId="0" fillId="0" borderId="17" xfId="0" applyNumberFormat="1" applyBorder="1" applyAlignment="1" applyProtection="1">
      <alignment horizontal="center" vertical="center" wrapText="1"/>
      <protection locked="0"/>
    </xf>
    <xf numFmtId="2" fontId="0" fillId="0" borderId="46" xfId="0" applyNumberFormat="1" applyBorder="1" applyAlignment="1" applyProtection="1">
      <alignment horizontal="center" vertical="center" wrapText="1"/>
      <protection locked="0"/>
    </xf>
    <xf numFmtId="165" fontId="0" fillId="24" borderId="23" xfId="0" applyNumberFormat="1" applyFill="1" applyBorder="1" applyAlignment="1">
      <alignment horizontal="center" vertical="center" wrapText="1"/>
    </xf>
    <xf numFmtId="165" fontId="0" fillId="24" borderId="68" xfId="0" applyNumberFormat="1" applyFill="1" applyBorder="1" applyAlignment="1">
      <alignment horizontal="center" vertical="center" wrapText="1"/>
    </xf>
    <xf numFmtId="0" fontId="0" fillId="2" borderId="28" xfId="0" applyFill="1" applyBorder="1" applyAlignment="1">
      <alignment horizontal="center" vertical="center" wrapText="1"/>
    </xf>
    <xf numFmtId="0" fontId="0" fillId="2" borderId="18" xfId="0" applyFill="1" applyBorder="1" applyAlignment="1">
      <alignment horizontal="center" vertical="center" wrapText="1"/>
    </xf>
    <xf numFmtId="0" fontId="4" fillId="7" borderId="1" xfId="0" applyFont="1" applyFill="1" applyBorder="1" applyAlignment="1">
      <alignment horizontal="center" vertical="center"/>
    </xf>
    <xf numFmtId="0" fontId="4" fillId="7" borderId="3" xfId="0" applyFont="1" applyFill="1" applyBorder="1" applyAlignment="1">
      <alignment horizontal="center" vertical="center"/>
    </xf>
    <xf numFmtId="2" fontId="0" fillId="7" borderId="1" xfId="0" applyNumberFormat="1" applyFill="1" applyBorder="1" applyAlignment="1">
      <alignment horizontal="center" vertical="center" wrapText="1"/>
    </xf>
    <xf numFmtId="2" fontId="0" fillId="7" borderId="2" xfId="0" applyNumberFormat="1" applyFill="1" applyBorder="1" applyAlignment="1">
      <alignment horizontal="center" vertical="center" wrapText="1"/>
    </xf>
    <xf numFmtId="2" fontId="0" fillId="7" borderId="3" xfId="0" applyNumberFormat="1" applyFill="1" applyBorder="1" applyAlignment="1">
      <alignment horizontal="center" vertical="center" wrapText="1"/>
    </xf>
    <xf numFmtId="165" fontId="0" fillId="24" borderId="40" xfId="0" applyNumberFormat="1" applyFill="1" applyBorder="1" applyAlignment="1">
      <alignment horizontal="center" vertical="center" wrapText="1"/>
    </xf>
    <xf numFmtId="165" fontId="0" fillId="24" borderId="53" xfId="0" applyNumberFormat="1" applyFill="1" applyBorder="1" applyAlignment="1">
      <alignment horizontal="center" vertical="center" wrapText="1"/>
    </xf>
    <xf numFmtId="0" fontId="0" fillId="2" borderId="11" xfId="0" applyFill="1" applyBorder="1" applyAlignment="1">
      <alignment horizontal="center" vertical="center" wrapText="1"/>
    </xf>
    <xf numFmtId="0" fontId="0" fillId="2" borderId="13" xfId="0" applyFill="1" applyBorder="1" applyAlignment="1">
      <alignment horizontal="center" vertical="center" wrapText="1"/>
    </xf>
    <xf numFmtId="0" fontId="14" fillId="5" borderId="67" xfId="0" applyFont="1" applyFill="1" applyBorder="1" applyAlignment="1">
      <alignment horizontal="center" vertical="center" wrapText="1"/>
    </xf>
    <xf numFmtId="0" fontId="14" fillId="12" borderId="0" xfId="0" applyFont="1" applyFill="1" applyAlignment="1">
      <alignment horizontal="center" vertical="center" wrapText="1"/>
    </xf>
    <xf numFmtId="0" fontId="14" fillId="5" borderId="28"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4" fillId="16" borderId="5" xfId="0" applyFont="1" applyFill="1" applyBorder="1" applyAlignment="1" applyProtection="1">
      <alignment horizontal="center" vertical="center"/>
      <protection locked="0"/>
    </xf>
    <xf numFmtId="0" fontId="4" fillId="16" borderId="6" xfId="0" applyFont="1" applyFill="1" applyBorder="1" applyAlignment="1" applyProtection="1">
      <alignment horizontal="center" vertical="center"/>
      <protection locked="0"/>
    </xf>
    <xf numFmtId="0" fontId="3" fillId="0" borderId="13" xfId="0" applyFont="1" applyBorder="1" applyAlignment="1">
      <alignment horizontal="center"/>
    </xf>
    <xf numFmtId="0" fontId="3" fillId="0" borderId="14" xfId="0" applyFont="1" applyBorder="1" applyAlignment="1">
      <alignment horizontal="center"/>
    </xf>
    <xf numFmtId="0" fontId="12" fillId="5" borderId="5" xfId="0" applyFont="1" applyFill="1" applyBorder="1" applyAlignment="1">
      <alignment horizontal="center" vertical="center" wrapText="1"/>
    </xf>
    <xf numFmtId="0" fontId="12" fillId="5" borderId="62" xfId="0" applyFont="1" applyFill="1" applyBorder="1" applyAlignment="1">
      <alignment horizontal="center" vertical="center" wrapText="1"/>
    </xf>
    <xf numFmtId="0" fontId="12" fillId="5" borderId="63" xfId="0" applyFont="1" applyFill="1" applyBorder="1" applyAlignment="1">
      <alignment horizontal="center" vertical="center" wrapText="1"/>
    </xf>
    <xf numFmtId="0" fontId="12" fillId="5" borderId="31" xfId="0" applyFont="1" applyFill="1" applyBorder="1" applyAlignment="1">
      <alignment horizontal="center" vertical="center" wrapText="1"/>
    </xf>
    <xf numFmtId="0" fontId="12" fillId="5" borderId="35" xfId="0" applyFont="1" applyFill="1" applyBorder="1" applyAlignment="1">
      <alignment horizontal="center" vertical="center" wrapText="1"/>
    </xf>
    <xf numFmtId="0" fontId="12" fillId="5" borderId="67"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4" fillId="0" borderId="27"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0" fillId="0" borderId="2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4" fillId="0" borderId="61"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wrapText="1"/>
      <protection locked="0"/>
    </xf>
    <xf numFmtId="0" fontId="3" fillId="0" borderId="39" xfId="0" applyFont="1" applyBorder="1" applyAlignment="1">
      <alignment horizontal="center"/>
    </xf>
    <xf numFmtId="0" fontId="3" fillId="0" borderId="26" xfId="0" applyFont="1" applyBorder="1" applyAlignment="1">
      <alignment horizontal="center"/>
    </xf>
    <xf numFmtId="0" fontId="3" fillId="0" borderId="18" xfId="0" applyFont="1" applyBorder="1" applyAlignment="1">
      <alignment horizontal="center"/>
    </xf>
    <xf numFmtId="0" fontId="3" fillId="0" borderId="29" xfId="0" applyFont="1" applyBorder="1" applyAlignment="1">
      <alignment horizontal="center"/>
    </xf>
    <xf numFmtId="0" fontId="14" fillId="5" borderId="48"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14" fillId="5" borderId="56" xfId="0" applyFont="1" applyFill="1" applyBorder="1" applyAlignment="1">
      <alignment horizontal="center" vertical="center" wrapText="1"/>
    </xf>
    <xf numFmtId="0" fontId="12" fillId="27" borderId="13" xfId="0" applyFont="1" applyFill="1" applyBorder="1" applyAlignment="1">
      <alignment horizontal="center" vertical="center" wrapText="1"/>
    </xf>
    <xf numFmtId="0" fontId="12" fillId="27" borderId="14" xfId="0" applyFont="1" applyFill="1" applyBorder="1" applyAlignment="1">
      <alignment horizontal="center" vertical="center" wrapText="1"/>
    </xf>
    <xf numFmtId="0" fontId="20" fillId="22" borderId="25" xfId="0" applyFont="1" applyFill="1" applyBorder="1" applyAlignment="1">
      <alignment horizontal="center"/>
    </xf>
    <xf numFmtId="0" fontId="20" fillId="22" borderId="26" xfId="0" applyFont="1" applyFill="1" applyBorder="1" applyAlignment="1">
      <alignment horizontal="center"/>
    </xf>
    <xf numFmtId="0" fontId="0" fillId="0" borderId="30" xfId="0" applyBorder="1" applyAlignment="1">
      <alignment horizontal="left" vertical="center" wrapText="1"/>
    </xf>
    <xf numFmtId="0" fontId="0" fillId="0" borderId="31" xfId="0"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0" xfId="0" applyAlignment="1">
      <alignment horizontal="left" vertical="center"/>
    </xf>
    <xf numFmtId="0" fontId="0" fillId="0" borderId="43"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left" vertical="center"/>
    </xf>
    <xf numFmtId="0" fontId="26" fillId="17" borderId="0" xfId="0" applyFont="1" applyFill="1" applyAlignment="1">
      <alignment horizontal="center" vertical="center" wrapText="1"/>
    </xf>
    <xf numFmtId="0" fontId="20" fillId="22" borderId="11" xfId="0" applyFont="1" applyFill="1" applyBorder="1" applyAlignment="1">
      <alignment horizontal="center"/>
    </xf>
    <xf numFmtId="0" fontId="20" fillId="22" borderId="14" xfId="0" applyFont="1" applyFill="1" applyBorder="1" applyAlignment="1">
      <alignment horizontal="center"/>
    </xf>
    <xf numFmtId="0" fontId="4" fillId="7" borderId="44" xfId="0" applyFont="1" applyFill="1" applyBorder="1" applyAlignment="1">
      <alignment horizontal="center" vertical="center"/>
    </xf>
    <xf numFmtId="0" fontId="0" fillId="7" borderId="1" xfId="0" applyFill="1" applyBorder="1" applyAlignment="1">
      <alignment horizontal="center" vertical="center" wrapText="1"/>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12" fillId="5" borderId="25" xfId="0" applyFont="1" applyFill="1" applyBorder="1" applyAlignment="1">
      <alignment horizontal="center" vertical="center"/>
    </xf>
    <xf numFmtId="0" fontId="12" fillId="5" borderId="39" xfId="0" applyFont="1" applyFill="1" applyBorder="1" applyAlignment="1">
      <alignment horizontal="center" vertical="center"/>
    </xf>
    <xf numFmtId="0" fontId="12" fillId="5" borderId="26" xfId="0" applyFont="1" applyFill="1" applyBorder="1" applyAlignment="1">
      <alignment horizontal="center" vertical="center"/>
    </xf>
    <xf numFmtId="0" fontId="20" fillId="22" borderId="4" xfId="0" applyFont="1" applyFill="1" applyBorder="1" applyAlignment="1">
      <alignment horizontal="center" vertical="center" wrapText="1"/>
    </xf>
    <xf numFmtId="0" fontId="20" fillId="22" borderId="58" xfId="0" applyFont="1" applyFill="1" applyBorder="1" applyAlignment="1">
      <alignment horizontal="center" vertical="center" wrapText="1"/>
    </xf>
    <xf numFmtId="0" fontId="20" fillId="22" borderId="10" xfId="0" applyFont="1" applyFill="1" applyBorder="1" applyAlignment="1">
      <alignment horizontal="center" vertical="center" wrapText="1"/>
    </xf>
    <xf numFmtId="0" fontId="20" fillId="22" borderId="78" xfId="0" applyFont="1" applyFill="1" applyBorder="1" applyAlignment="1">
      <alignment horizontal="center" vertical="center"/>
    </xf>
    <xf numFmtId="0" fontId="20" fillId="22" borderId="72" xfId="0" applyFont="1" applyFill="1" applyBorder="1" applyAlignment="1">
      <alignment horizontal="center" vertical="center"/>
    </xf>
    <xf numFmtId="0" fontId="20" fillId="22" borderId="76" xfId="0" applyFont="1" applyFill="1" applyBorder="1" applyAlignment="1">
      <alignment horizontal="center" vertical="center"/>
    </xf>
    <xf numFmtId="0" fontId="33" fillId="12" borderId="52" xfId="0" applyFont="1" applyFill="1" applyBorder="1" applyAlignment="1">
      <alignment horizontal="center" vertical="center"/>
    </xf>
    <xf numFmtId="0" fontId="33" fillId="12" borderId="71" xfId="0" applyFont="1" applyFill="1" applyBorder="1" applyAlignment="1">
      <alignment horizontal="center" vertical="center"/>
    </xf>
    <xf numFmtId="0" fontId="33" fillId="12" borderId="77" xfId="0" applyFont="1" applyFill="1" applyBorder="1" applyAlignment="1">
      <alignment horizontal="center" vertical="center"/>
    </xf>
    <xf numFmtId="0" fontId="20" fillId="22" borderId="25" xfId="0" applyFont="1" applyFill="1" applyBorder="1" applyAlignment="1">
      <alignment horizontal="center" vertical="center"/>
    </xf>
    <xf numFmtId="0" fontId="20" fillId="22" borderId="28" xfId="0" applyFont="1" applyFill="1" applyBorder="1" applyAlignment="1">
      <alignment horizontal="center" vertical="center"/>
    </xf>
    <xf numFmtId="0" fontId="20" fillId="22" borderId="18" xfId="0" applyFont="1" applyFill="1" applyBorder="1" applyAlignment="1">
      <alignment horizontal="center" vertical="center"/>
    </xf>
    <xf numFmtId="0" fontId="20" fillId="22" borderId="11" xfId="0" applyFont="1" applyFill="1" applyBorder="1" applyAlignment="1">
      <alignment horizontal="center" vertical="center"/>
    </xf>
    <xf numFmtId="0" fontId="4" fillId="7" borderId="76" xfId="0" applyFont="1" applyFill="1" applyBorder="1" applyAlignment="1">
      <alignment horizontal="center" vertical="center"/>
    </xf>
    <xf numFmtId="0" fontId="4" fillId="7" borderId="77" xfId="0" applyFont="1" applyFill="1" applyBorder="1" applyAlignment="1">
      <alignment horizontal="center" vertical="center"/>
    </xf>
    <xf numFmtId="165" fontId="0" fillId="24" borderId="37" xfId="0" applyNumberFormat="1" applyFill="1" applyBorder="1" applyAlignment="1">
      <alignment horizontal="center" vertical="center" wrapText="1"/>
    </xf>
    <xf numFmtId="165" fontId="0" fillId="24" borderId="36" xfId="0" applyNumberFormat="1" applyFill="1" applyBorder="1" applyAlignment="1">
      <alignment horizontal="center" vertical="center" wrapText="1"/>
    </xf>
    <xf numFmtId="165" fontId="0" fillId="24" borderId="34" xfId="0" applyNumberFormat="1" applyFill="1" applyBorder="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0" fillId="5" borderId="40"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 fillId="7" borderId="20" xfId="0" applyFont="1" applyFill="1" applyBorder="1" applyAlignment="1">
      <alignment horizontal="center" vertical="center"/>
    </xf>
    <xf numFmtId="0" fontId="4" fillId="7" borderId="19" xfId="0" applyFont="1" applyFill="1" applyBorder="1" applyAlignment="1">
      <alignment horizontal="center" vertical="center"/>
    </xf>
    <xf numFmtId="165" fontId="0" fillId="24" borderId="46" xfId="0" applyNumberFormat="1" applyFill="1" applyBorder="1" applyAlignment="1">
      <alignment horizontal="center" vertical="center" wrapText="1"/>
    </xf>
    <xf numFmtId="0" fontId="14" fillId="5" borderId="31" xfId="0" applyFont="1" applyFill="1" applyBorder="1" applyAlignment="1">
      <alignment horizontal="center" vertical="center"/>
    </xf>
    <xf numFmtId="0" fontId="14" fillId="5" borderId="35" xfId="0" applyFont="1" applyFill="1" applyBorder="1" applyAlignment="1">
      <alignment horizontal="center" vertical="center" wrapText="1"/>
    </xf>
    <xf numFmtId="0" fontId="4" fillId="0" borderId="39"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4" fillId="7" borderId="25" xfId="0" applyFont="1" applyFill="1" applyBorder="1" applyAlignment="1">
      <alignment horizontal="center" vertical="center"/>
    </xf>
    <xf numFmtId="0" fontId="4" fillId="7" borderId="26" xfId="0" applyFont="1" applyFill="1" applyBorder="1" applyAlignment="1">
      <alignment horizontal="center" vertical="center"/>
    </xf>
    <xf numFmtId="165" fontId="0" fillId="24" borderId="62" xfId="0" applyNumberFormat="1" applyFill="1" applyBorder="1" applyAlignment="1">
      <alignment horizontal="center" vertical="center" wrapText="1"/>
    </xf>
    <xf numFmtId="165" fontId="0" fillId="24" borderId="6" xfId="0" applyNumberFormat="1" applyFill="1" applyBorder="1" applyAlignment="1">
      <alignment horizontal="center" vertical="center" wrapText="1"/>
    </xf>
    <xf numFmtId="0" fontId="4" fillId="16" borderId="47" xfId="0" applyFont="1" applyFill="1" applyBorder="1" applyAlignment="1" applyProtection="1">
      <alignment horizontal="center" vertical="center" wrapText="1"/>
      <protection locked="0"/>
    </xf>
    <xf numFmtId="0" fontId="4" fillId="16" borderId="55" xfId="0" applyFont="1" applyFill="1" applyBorder="1" applyAlignment="1" applyProtection="1">
      <alignment horizontal="center" vertical="center" wrapText="1"/>
      <protection locked="0"/>
    </xf>
    <xf numFmtId="2" fontId="0" fillId="0" borderId="33" xfId="0" applyNumberFormat="1" applyBorder="1" applyAlignment="1" applyProtection="1">
      <alignment horizontal="center" vertical="center" wrapText="1"/>
      <protection locked="0"/>
    </xf>
    <xf numFmtId="2" fontId="0" fillId="0" borderId="0" xfId="0" applyNumberFormat="1" applyAlignment="1" applyProtection="1">
      <alignment horizontal="center" vertical="center" wrapText="1"/>
      <protection locked="0"/>
    </xf>
    <xf numFmtId="165" fontId="0" fillId="24" borderId="47" xfId="0" applyNumberFormat="1" applyFill="1" applyBorder="1" applyAlignment="1">
      <alignment horizontal="center" vertical="center" wrapText="1"/>
    </xf>
    <xf numFmtId="165" fontId="0" fillId="24" borderId="42" xfId="0" applyNumberFormat="1" applyFill="1" applyBorder="1" applyAlignment="1">
      <alignment horizontal="center" vertical="center" wrapText="1"/>
    </xf>
    <xf numFmtId="165" fontId="0" fillId="24" borderId="55" xfId="0" applyNumberFormat="1" applyFill="1" applyBorder="1" applyAlignment="1">
      <alignment horizontal="center" vertical="center" wrapText="1"/>
    </xf>
    <xf numFmtId="165" fontId="0" fillId="24" borderId="35" xfId="0" applyNumberFormat="1" applyFill="1" applyBorder="1" applyAlignment="1">
      <alignment horizontal="center" vertical="center" wrapText="1"/>
    </xf>
    <xf numFmtId="0" fontId="2" fillId="12" borderId="42" xfId="0" applyFont="1" applyFill="1" applyBorder="1" applyAlignment="1">
      <alignment horizontal="center"/>
    </xf>
    <xf numFmtId="0" fontId="2" fillId="12" borderId="55" xfId="0" applyFont="1" applyFill="1" applyBorder="1" applyAlignment="1">
      <alignment horizontal="center"/>
    </xf>
    <xf numFmtId="0" fontId="1" fillId="12" borderId="0" xfId="0" applyFont="1" applyFill="1" applyAlignment="1">
      <alignment horizontal="center" wrapText="1"/>
    </xf>
    <xf numFmtId="0" fontId="14" fillId="5" borderId="12" xfId="0" applyFont="1" applyFill="1" applyBorder="1" applyAlignment="1">
      <alignment horizontal="center" vertical="center" wrapText="1"/>
    </xf>
    <xf numFmtId="0" fontId="4" fillId="16" borderId="45" xfId="0" applyFont="1" applyFill="1" applyBorder="1" applyAlignment="1" applyProtection="1">
      <alignment horizontal="center" vertical="center" wrapText="1"/>
      <protection locked="0"/>
    </xf>
    <xf numFmtId="0" fontId="4" fillId="16" borderId="56" xfId="0" applyFont="1" applyFill="1" applyBorder="1" applyAlignment="1" applyProtection="1">
      <alignment horizontal="center" vertical="center" wrapText="1"/>
      <protection locked="0"/>
    </xf>
    <xf numFmtId="165" fontId="0" fillId="24" borderId="45" xfId="0" applyNumberFormat="1" applyFill="1" applyBorder="1" applyAlignment="1">
      <alignment horizontal="center" vertical="center" wrapText="1"/>
    </xf>
    <xf numFmtId="165" fontId="0" fillId="24" borderId="41" xfId="0" applyNumberFormat="1" applyFill="1" applyBorder="1" applyAlignment="1">
      <alignment horizontal="center" vertical="center" wrapText="1"/>
    </xf>
    <xf numFmtId="165" fontId="0" fillId="24" borderId="56" xfId="0" applyNumberFormat="1" applyFill="1" applyBorder="1" applyAlignment="1">
      <alignment horizontal="center" vertical="center" wrapText="1"/>
    </xf>
    <xf numFmtId="0" fontId="14" fillId="5" borderId="62" xfId="0" applyFont="1" applyFill="1" applyBorder="1" applyAlignment="1">
      <alignment horizontal="center" vertical="center" wrapText="1"/>
    </xf>
    <xf numFmtId="0" fontId="4" fillId="16" borderId="5" xfId="0" applyFont="1" applyFill="1" applyBorder="1" applyAlignment="1" applyProtection="1">
      <alignment horizontal="center" vertical="center" wrapText="1"/>
      <protection locked="0"/>
    </xf>
    <xf numFmtId="0" fontId="4" fillId="16" borderId="6" xfId="0" applyFont="1" applyFill="1" applyBorder="1" applyAlignment="1" applyProtection="1">
      <alignment horizontal="center" vertical="center" wrapText="1"/>
      <protection locked="0"/>
    </xf>
    <xf numFmtId="165" fontId="0" fillId="24" borderId="25" xfId="0" applyNumberFormat="1" applyFill="1" applyBorder="1" applyAlignment="1">
      <alignment horizontal="center" vertical="center" wrapText="1"/>
    </xf>
    <xf numFmtId="165" fontId="0" fillId="24" borderId="39" xfId="0" applyNumberFormat="1" applyFill="1" applyBorder="1" applyAlignment="1">
      <alignment horizontal="center" vertical="center" wrapText="1"/>
    </xf>
    <xf numFmtId="165" fontId="0" fillId="24" borderId="26" xfId="0" applyNumberFormat="1" applyFill="1" applyBorder="1" applyAlignment="1">
      <alignment horizontal="center" vertical="center" wrapText="1"/>
    </xf>
    <xf numFmtId="0" fontId="0" fillId="0" borderId="34"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3" fillId="0" borderId="54" xfId="0" applyFont="1" applyBorder="1" applyAlignment="1">
      <alignment horizontal="center"/>
    </xf>
    <xf numFmtId="0" fontId="3" fillId="0" borderId="16" xfId="0" applyFont="1" applyBorder="1" applyAlignment="1">
      <alignment horizontal="center"/>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0" fillId="0" borderId="45" xfId="0"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56" xfId="0" applyBorder="1" applyAlignment="1" applyProtection="1">
      <alignment horizontal="center" vertical="center" wrapText="1"/>
      <protection locked="0"/>
    </xf>
    <xf numFmtId="0" fontId="14" fillId="5" borderId="29"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6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20" fillId="22" borderId="48" xfId="0" applyFont="1" applyFill="1" applyBorder="1" applyAlignment="1">
      <alignment horizontal="center" vertical="center"/>
    </xf>
    <xf numFmtId="0" fontId="20" fillId="22" borderId="49" xfId="0" applyFont="1" applyFill="1" applyBorder="1" applyAlignment="1">
      <alignment horizontal="center" vertical="center"/>
    </xf>
    <xf numFmtId="0" fontId="20" fillId="22" borderId="50" xfId="0" applyFont="1" applyFill="1" applyBorder="1" applyAlignment="1">
      <alignment horizontal="center" vertical="center"/>
    </xf>
    <xf numFmtId="0" fontId="20" fillId="22" borderId="39" xfId="0" applyFont="1" applyFill="1" applyBorder="1" applyAlignment="1">
      <alignment horizontal="center"/>
    </xf>
    <xf numFmtId="0" fontId="4" fillId="7" borderId="18" xfId="0" applyFont="1" applyFill="1" applyBorder="1" applyAlignment="1">
      <alignment horizontal="center" vertical="center"/>
    </xf>
    <xf numFmtId="0" fontId="4" fillId="7" borderId="27" xfId="0" applyFont="1" applyFill="1" applyBorder="1" applyAlignment="1">
      <alignment horizontal="center" vertical="center"/>
    </xf>
    <xf numFmtId="165" fontId="0" fillId="24" borderId="18" xfId="0" applyNumberFormat="1" applyFill="1" applyBorder="1" applyAlignment="1">
      <alignment horizontal="center" vertical="center" wrapText="1"/>
    </xf>
    <xf numFmtId="165" fontId="0" fillId="24" borderId="29" xfId="0" applyNumberFormat="1" applyFill="1" applyBorder="1" applyAlignment="1">
      <alignment horizontal="center" vertical="center" wrapText="1"/>
    </xf>
    <xf numFmtId="0" fontId="4" fillId="7" borderId="13" xfId="0" applyFont="1" applyFill="1" applyBorder="1" applyAlignment="1">
      <alignment horizontal="center" vertical="center"/>
    </xf>
    <xf numFmtId="0" fontId="4" fillId="7" borderId="61" xfId="0" applyFont="1" applyFill="1" applyBorder="1" applyAlignment="1">
      <alignment horizontal="center" vertical="center"/>
    </xf>
    <xf numFmtId="165" fontId="0" fillId="24" borderId="13" xfId="0" applyNumberFormat="1" applyFill="1" applyBorder="1" applyAlignment="1">
      <alignment horizontal="center" vertical="center" wrapText="1"/>
    </xf>
    <xf numFmtId="165" fontId="0" fillId="24" borderId="14" xfId="0" applyNumberFormat="1" applyFill="1" applyBorder="1" applyAlignment="1">
      <alignment horizontal="center" vertical="center" wrapText="1"/>
    </xf>
    <xf numFmtId="0" fontId="51" fillId="5" borderId="18" xfId="0" applyFont="1" applyFill="1" applyBorder="1" applyAlignment="1">
      <alignment horizontal="center" vertical="center" wrapText="1"/>
    </xf>
    <xf numFmtId="0" fontId="12" fillId="5" borderId="58" xfId="0" applyFont="1" applyFill="1" applyBorder="1" applyAlignment="1">
      <alignment horizontal="center" vertical="center" wrapText="1"/>
    </xf>
    <xf numFmtId="0" fontId="14" fillId="5" borderId="58" xfId="0" applyFont="1" applyFill="1" applyBorder="1" applyAlignment="1">
      <alignment horizontal="center" vertical="center" wrapText="1"/>
    </xf>
    <xf numFmtId="0" fontId="14" fillId="5" borderId="0" xfId="0" applyFont="1" applyFill="1" applyAlignment="1">
      <alignment horizontal="center" vertical="center" wrapText="1"/>
    </xf>
    <xf numFmtId="0" fontId="14" fillId="5" borderId="15" xfId="0" applyFont="1" applyFill="1" applyBorder="1" applyAlignment="1">
      <alignment horizontal="center" vertical="center" wrapText="1"/>
    </xf>
    <xf numFmtId="0" fontId="14" fillId="5" borderId="5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14" fillId="5" borderId="22"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2" fillId="5" borderId="65" xfId="0" applyFont="1" applyFill="1" applyBorder="1" applyAlignment="1">
      <alignment horizontal="center" vertical="center" wrapText="1"/>
    </xf>
    <xf numFmtId="0" fontId="12" fillId="5" borderId="80" xfId="0" applyFont="1" applyFill="1" applyBorder="1" applyAlignment="1">
      <alignment horizontal="center" vertical="center" wrapText="1"/>
    </xf>
    <xf numFmtId="0" fontId="4" fillId="7" borderId="39" xfId="0" applyFont="1" applyFill="1" applyBorder="1" applyAlignment="1">
      <alignment horizontal="center" vertical="center"/>
    </xf>
    <xf numFmtId="0" fontId="4" fillId="7" borderId="62" xfId="0" applyFont="1" applyFill="1" applyBorder="1" applyAlignment="1">
      <alignment horizontal="center" vertical="center"/>
    </xf>
    <xf numFmtId="165" fontId="0" fillId="24" borderId="28" xfId="0" applyNumberFormat="1" applyFill="1" applyBorder="1" applyAlignment="1">
      <alignment horizontal="center" vertical="center" wrapText="1"/>
    </xf>
    <xf numFmtId="0" fontId="4" fillId="16" borderId="47" xfId="0" applyFont="1" applyFill="1" applyBorder="1" applyAlignment="1" applyProtection="1">
      <alignment horizontal="center" vertical="center"/>
      <protection locked="0"/>
    </xf>
    <xf numFmtId="0" fontId="4" fillId="16" borderId="55" xfId="0" applyFont="1" applyFill="1" applyBorder="1" applyAlignment="1" applyProtection="1">
      <alignment horizontal="center" vertical="center"/>
      <protection locked="0"/>
    </xf>
    <xf numFmtId="2" fontId="0" fillId="0" borderId="34" xfId="0" applyNumberFormat="1" applyBorder="1" applyAlignment="1" applyProtection="1">
      <alignment horizontal="center" vertical="center" wrapText="1"/>
      <protection locked="0"/>
    </xf>
    <xf numFmtId="2" fontId="0" fillId="0" borderId="35" xfId="0" applyNumberFormat="1" applyBorder="1" applyAlignment="1" applyProtection="1">
      <alignment horizontal="center" vertical="center" wrapText="1"/>
      <protection locked="0"/>
    </xf>
    <xf numFmtId="165" fontId="0" fillId="24" borderId="11" xfId="0" applyNumberForma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53" xfId="0" applyFont="1" applyFill="1" applyBorder="1" applyAlignment="1">
      <alignment horizontal="center" vertical="center" wrapText="1"/>
    </xf>
    <xf numFmtId="0" fontId="14" fillId="5" borderId="78"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2" fillId="27" borderId="4" xfId="0" applyFont="1" applyFill="1" applyBorder="1" applyAlignment="1">
      <alignment horizontal="center" vertical="center"/>
    </xf>
    <xf numFmtId="0" fontId="12" fillId="27" borderId="10" xfId="0" applyFont="1" applyFill="1" applyBorder="1" applyAlignment="1">
      <alignment horizontal="center" vertical="center"/>
    </xf>
    <xf numFmtId="0" fontId="14" fillId="5" borderId="51"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39" xfId="0" applyFill="1" applyBorder="1" applyAlignment="1">
      <alignment horizontal="center" vertical="center" wrapText="1"/>
    </xf>
    <xf numFmtId="2" fontId="0" fillId="0" borderId="5" xfId="0" applyNumberFormat="1" applyBorder="1" applyAlignment="1" applyProtection="1">
      <alignment horizontal="center" vertical="center" wrapText="1"/>
      <protection locked="0"/>
    </xf>
    <xf numFmtId="2" fontId="0" fillId="0" borderId="63" xfId="0" applyNumberFormat="1"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2" fillId="12" borderId="61" xfId="0" applyFont="1" applyFill="1" applyBorder="1" applyAlignment="1">
      <alignment horizontal="center"/>
    </xf>
    <xf numFmtId="0" fontId="14" fillId="5" borderId="1"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27" xfId="0" applyFont="1" applyFill="1" applyBorder="1" applyAlignment="1">
      <alignment horizontal="center" vertical="center" wrapText="1"/>
    </xf>
    <xf numFmtId="0" fontId="14" fillId="27" borderId="18" xfId="0" applyFont="1" applyFill="1" applyBorder="1" applyAlignment="1">
      <alignment horizontal="center" vertical="center" wrapText="1"/>
    </xf>
    <xf numFmtId="0" fontId="12" fillId="5" borderId="33"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43" xfId="0" applyFont="1" applyFill="1" applyBorder="1" applyAlignment="1">
      <alignment horizontal="center" vertical="center" wrapText="1"/>
    </xf>
    <xf numFmtId="0" fontId="38" fillId="12" borderId="0" xfId="0" applyFont="1" applyFill="1" applyAlignment="1">
      <alignment horizontal="center" wrapText="1"/>
    </xf>
    <xf numFmtId="0" fontId="0" fillId="12" borderId="0" xfId="0" applyFill="1" applyAlignment="1">
      <alignment horizontal="center" wrapText="1"/>
    </xf>
    <xf numFmtId="0" fontId="20" fillId="5" borderId="25" xfId="0" applyFont="1" applyFill="1" applyBorder="1" applyAlignment="1">
      <alignment horizontal="center" vertical="center"/>
    </xf>
    <xf numFmtId="0" fontId="20" fillId="5" borderId="39" xfId="0" applyFont="1" applyFill="1" applyBorder="1" applyAlignment="1">
      <alignment horizontal="center" vertical="center"/>
    </xf>
    <xf numFmtId="165" fontId="5" fillId="3" borderId="39" xfId="0" applyNumberFormat="1" applyFont="1" applyFill="1" applyBorder="1" applyAlignment="1">
      <alignment horizontal="center" vertical="center"/>
    </xf>
    <xf numFmtId="165" fontId="5" fillId="3" borderId="26" xfId="0" applyNumberFormat="1" applyFont="1" applyFill="1" applyBorder="1" applyAlignment="1">
      <alignment horizontal="center" vertical="center"/>
    </xf>
    <xf numFmtId="0" fontId="20" fillId="5" borderId="28" xfId="0" applyFont="1" applyFill="1" applyBorder="1" applyAlignment="1">
      <alignment horizontal="center" vertical="center"/>
    </xf>
    <xf numFmtId="0" fontId="20" fillId="5" borderId="18" xfId="0" applyFont="1" applyFill="1" applyBorder="1" applyAlignment="1">
      <alignment horizontal="center" vertical="center"/>
    </xf>
    <xf numFmtId="165" fontId="5" fillId="3" borderId="18" xfId="0" applyNumberFormat="1" applyFont="1" applyFill="1" applyBorder="1" applyAlignment="1">
      <alignment horizontal="center" vertical="center"/>
    </xf>
    <xf numFmtId="165" fontId="5" fillId="3" borderId="29" xfId="0" applyNumberFormat="1" applyFont="1" applyFill="1" applyBorder="1" applyAlignment="1">
      <alignment horizontal="center" vertical="center"/>
    </xf>
    <xf numFmtId="0" fontId="20" fillId="5" borderId="11" xfId="0" applyFont="1" applyFill="1" applyBorder="1" applyAlignment="1">
      <alignment horizontal="center" vertical="center"/>
    </xf>
    <xf numFmtId="0" fontId="20" fillId="5" borderId="13" xfId="0" applyFont="1" applyFill="1" applyBorder="1" applyAlignment="1">
      <alignment horizontal="center" vertical="center"/>
    </xf>
    <xf numFmtId="165" fontId="5" fillId="3" borderId="13" xfId="0" applyNumberFormat="1" applyFont="1" applyFill="1" applyBorder="1" applyAlignment="1">
      <alignment horizontal="center" vertical="center"/>
    </xf>
    <xf numFmtId="165" fontId="5" fillId="3" borderId="14" xfId="0" applyNumberFormat="1" applyFont="1" applyFill="1" applyBorder="1" applyAlignment="1">
      <alignment horizontal="center" vertical="center"/>
    </xf>
    <xf numFmtId="0" fontId="3" fillId="12" borderId="35" xfId="0" applyFont="1" applyFill="1" applyBorder="1" applyAlignment="1">
      <alignment horizontal="center" vertical="center" wrapText="1"/>
    </xf>
    <xf numFmtId="0" fontId="15" fillId="5" borderId="78" xfId="0" applyFont="1" applyFill="1" applyBorder="1" applyAlignment="1">
      <alignment horizontal="center" vertical="center" wrapText="1"/>
    </xf>
    <xf numFmtId="0" fontId="15" fillId="5" borderId="72" xfId="0" applyFont="1" applyFill="1" applyBorder="1" applyAlignment="1">
      <alignment horizontal="center" vertical="center" wrapText="1"/>
    </xf>
    <xf numFmtId="0" fontId="15" fillId="5" borderId="76" xfId="0" applyFont="1" applyFill="1" applyBorder="1" applyAlignment="1">
      <alignment horizontal="center" vertical="center" wrapText="1"/>
    </xf>
    <xf numFmtId="0" fontId="15" fillId="5" borderId="28"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20" fillId="5" borderId="2" xfId="0" applyFont="1" applyFill="1" applyBorder="1" applyAlignment="1">
      <alignment horizontal="center" vertical="center"/>
    </xf>
    <xf numFmtId="0" fontId="5" fillId="0" borderId="1" xfId="0" applyFont="1" applyBorder="1" applyAlignment="1">
      <alignment horizontal="center" vertical="center"/>
    </xf>
    <xf numFmtId="0" fontId="5" fillId="6" borderId="44" xfId="0" applyFont="1" applyFill="1" applyBorder="1" applyAlignment="1">
      <alignment horizontal="center" vertical="center"/>
    </xf>
    <xf numFmtId="0" fontId="5" fillId="6" borderId="40"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xf>
    <xf numFmtId="0" fontId="1" fillId="12" borderId="0" xfId="0" applyFont="1" applyFill="1" applyAlignment="1">
      <alignment horizontal="center"/>
    </xf>
    <xf numFmtId="0" fontId="12" fillId="27" borderId="1" xfId="0" applyFont="1" applyFill="1" applyBorder="1" applyAlignment="1">
      <alignment horizontal="center" vertical="center"/>
    </xf>
    <xf numFmtId="0" fontId="12" fillId="27" borderId="2" xfId="0" applyFont="1" applyFill="1" applyBorder="1" applyAlignment="1">
      <alignment horizontal="center" vertical="center"/>
    </xf>
    <xf numFmtId="0" fontId="12" fillId="27" borderId="3" xfId="0" applyFont="1" applyFill="1" applyBorder="1" applyAlignment="1">
      <alignment horizontal="center" vertical="center"/>
    </xf>
    <xf numFmtId="0" fontId="3" fillId="8" borderId="24"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5" fillId="8" borderId="24" xfId="0" applyFont="1" applyFill="1" applyBorder="1" applyAlignment="1">
      <alignment horizontal="center"/>
    </xf>
    <xf numFmtId="0" fontId="5" fillId="23" borderId="24" xfId="0" applyFont="1" applyFill="1" applyBorder="1" applyAlignment="1">
      <alignment horizontal="center" vertical="center"/>
    </xf>
    <xf numFmtId="0" fontId="5" fillId="9" borderId="24" xfId="0" applyFont="1" applyFill="1" applyBorder="1" applyAlignment="1">
      <alignment horizontal="center"/>
    </xf>
    <xf numFmtId="0" fontId="12" fillId="27" borderId="30"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2" xfId="0" applyFont="1" applyFill="1" applyBorder="1" applyAlignment="1">
      <alignment horizontal="center" vertical="center"/>
    </xf>
    <xf numFmtId="0" fontId="12" fillId="27" borderId="34" xfId="0" applyFont="1" applyFill="1" applyBorder="1" applyAlignment="1">
      <alignment horizontal="center" vertical="center"/>
    </xf>
    <xf numFmtId="0" fontId="12" fillId="27" borderId="35" xfId="0" applyFont="1" applyFill="1" applyBorder="1" applyAlignment="1">
      <alignment horizontal="center" vertical="center"/>
    </xf>
    <xf numFmtId="0" fontId="12" fillId="27" borderId="36" xfId="0" applyFont="1" applyFill="1" applyBorder="1" applyAlignment="1">
      <alignment horizontal="center" vertical="center"/>
    </xf>
    <xf numFmtId="0" fontId="3" fillId="8" borderId="48" xfId="0" applyFont="1" applyFill="1" applyBorder="1" applyAlignment="1">
      <alignment horizontal="center" vertical="center" wrapText="1"/>
    </xf>
    <xf numFmtId="0" fontId="3" fillId="8" borderId="49" xfId="0" applyFont="1" applyFill="1" applyBorder="1" applyAlignment="1">
      <alignment horizontal="center" vertical="center" wrapText="1"/>
    </xf>
    <xf numFmtId="0" fontId="3" fillId="8" borderId="79" xfId="0" applyFont="1" applyFill="1" applyBorder="1" applyAlignment="1">
      <alignment horizontal="center" vertical="center" wrapText="1"/>
    </xf>
    <xf numFmtId="0" fontId="5" fillId="2" borderId="25"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26" xfId="0" applyFont="1" applyFill="1" applyBorder="1" applyAlignment="1">
      <alignment horizontal="center" vertical="center"/>
    </xf>
    <xf numFmtId="0" fontId="5" fillId="10" borderId="5" xfId="0" applyFont="1" applyFill="1" applyBorder="1" applyAlignment="1">
      <alignment horizontal="center" vertical="center"/>
    </xf>
    <xf numFmtId="0" fontId="5" fillId="10" borderId="63" xfId="0" applyFont="1" applyFill="1" applyBorder="1" applyAlignment="1">
      <alignment horizontal="center" vertical="center"/>
    </xf>
    <xf numFmtId="0" fontId="5" fillId="10" borderId="6" xfId="0" applyFont="1" applyFill="1" applyBorder="1" applyAlignment="1">
      <alignment horizontal="center" vertical="center"/>
    </xf>
    <xf numFmtId="0" fontId="2" fillId="21" borderId="48" xfId="0" applyFont="1" applyFill="1" applyBorder="1" applyAlignment="1">
      <alignment horizontal="center" vertical="center" wrapText="1"/>
    </xf>
    <xf numFmtId="0" fontId="2" fillId="21" borderId="49" xfId="0" applyFont="1" applyFill="1" applyBorder="1" applyAlignment="1">
      <alignment horizontal="center" vertical="center" wrapText="1"/>
    </xf>
    <xf numFmtId="0" fontId="2" fillId="21" borderId="5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14" fillId="5" borderId="41"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31" fillId="5" borderId="17" xfId="0" applyFont="1" applyFill="1" applyBorder="1" applyAlignment="1">
      <alignment horizontal="center" wrapText="1"/>
    </xf>
    <xf numFmtId="0" fontId="14" fillId="5" borderId="0" xfId="0" applyFont="1" applyFill="1" applyAlignment="1">
      <alignment horizontal="center"/>
    </xf>
    <xf numFmtId="0" fontId="28" fillId="5" borderId="17" xfId="0" applyFont="1" applyFill="1" applyBorder="1" applyAlignment="1">
      <alignment horizontal="center"/>
    </xf>
    <xf numFmtId="0" fontId="14" fillId="5" borderId="27" xfId="0" applyFont="1" applyFill="1" applyBorder="1" applyAlignment="1">
      <alignment horizontal="center"/>
    </xf>
    <xf numFmtId="0" fontId="14" fillId="5" borderId="41" xfId="0" applyFont="1" applyFill="1" applyBorder="1" applyAlignment="1">
      <alignment horizontal="center"/>
    </xf>
    <xf numFmtId="0" fontId="14" fillId="5" borderId="38" xfId="0" applyFont="1" applyFill="1" applyBorder="1" applyAlignment="1">
      <alignment horizontal="center"/>
    </xf>
    <xf numFmtId="0" fontId="0" fillId="0" borderId="25" xfId="0" applyBorder="1" applyAlignment="1">
      <alignment horizontal="center" vertical="center"/>
    </xf>
    <xf numFmtId="0" fontId="0" fillId="0" borderId="28" xfId="0" applyBorder="1" applyAlignment="1">
      <alignment horizontal="center" vertical="center"/>
    </xf>
    <xf numFmtId="0" fontId="0" fillId="0" borderId="11" xfId="0" applyBorder="1" applyAlignment="1">
      <alignment horizontal="center" vertical="center"/>
    </xf>
    <xf numFmtId="0" fontId="0" fillId="0" borderId="18" xfId="0" applyBorder="1" applyAlignment="1">
      <alignment horizontal="center" vertical="center"/>
    </xf>
    <xf numFmtId="0" fontId="0" fillId="0" borderId="39" xfId="0" applyBorder="1" applyAlignment="1">
      <alignment horizontal="center" vertical="center"/>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11" xfId="0" applyBorder="1" applyAlignment="1">
      <alignment horizontal="center" vertical="center" wrapText="1"/>
    </xf>
    <xf numFmtId="0" fontId="0" fillId="0" borderId="13" xfId="0" applyBorder="1" applyAlignment="1">
      <alignment horizontal="center" vertical="center"/>
    </xf>
  </cellXfs>
  <cellStyles count="32">
    <cellStyle name="Comma 2" xfId="4" xr:uid="{51224B8C-E8E3-47D2-A8F6-58EF7C551F9F}"/>
    <cellStyle name="Comma 2 2" xfId="5" xr:uid="{A728E390-66AE-44B3-ADFD-FEECB90E8647}"/>
    <cellStyle name="Comma 2 2 2" xfId="17" xr:uid="{9E775CFB-038E-47DD-8BD3-E436175821F2}"/>
    <cellStyle name="Comma 2 2 2 2" xfId="27" xr:uid="{4C957086-B6C9-45D0-809C-FD3B52CC1CFD}"/>
    <cellStyle name="Comma 2 2 3" xfId="22" xr:uid="{00AD15E0-C8C8-4862-BCCC-4B1DDC4A6CC5}"/>
    <cellStyle name="Comma 2 3" xfId="6" xr:uid="{4AE7532A-1280-4EA2-BD05-356BAA3F5334}"/>
    <cellStyle name="Comma 3" xfId="7" xr:uid="{6E026BA7-9710-4945-AC5E-692FBCB0071C}"/>
    <cellStyle name="Comma 3 2" xfId="8" xr:uid="{888492F3-8238-4658-AE91-2D3064833FF5}"/>
    <cellStyle name="Comma 3 2 2" xfId="19" xr:uid="{8B01FCB9-B130-4803-BAB3-1412FE5F339D}"/>
    <cellStyle name="Comma 3 2 2 2" xfId="29" xr:uid="{612947E2-7E7E-4965-B60C-20BEE31A774C}"/>
    <cellStyle name="Comma 3 2 3" xfId="24" xr:uid="{608353AA-7B5C-438B-AFF3-DAD9ABFB8998}"/>
    <cellStyle name="Comma 3 3" xfId="18" xr:uid="{4726DC99-FD4E-4C3B-8B8B-0E2829628A76}"/>
    <cellStyle name="Comma 3 3 2" xfId="28" xr:uid="{E41F5787-6EF3-47C0-83C9-D2111B2DCE65}"/>
    <cellStyle name="Comma 3 4" xfId="23" xr:uid="{3994423A-ED46-4948-A08B-97059F1E1348}"/>
    <cellStyle name="Comma 4" xfId="9" xr:uid="{1A0133AA-66F1-4B47-A5FE-E6F2A73000A7}"/>
    <cellStyle name="Comma 4 2" xfId="20" xr:uid="{86633743-ABE0-4C7B-B86D-99D3B99B9F59}"/>
    <cellStyle name="Comma 4 2 2" xfId="30" xr:uid="{CB81CB54-E4BD-47DE-BD74-12AEB64AE6FE}"/>
    <cellStyle name="Comma 4 3" xfId="25" xr:uid="{CE1C7454-B02F-48A1-A8B8-7D7BEE4AC3BF}"/>
    <cellStyle name="Comma 5" xfId="3" xr:uid="{79F2816B-0FDC-4D15-8090-174684463E7D}"/>
    <cellStyle name="Comma 5 2" xfId="16" xr:uid="{CF16011A-4205-4192-96FB-C28AD538ABE0}"/>
    <cellStyle name="Comma 5 2 2" xfId="26" xr:uid="{2E151703-1ACA-45A2-8F93-D9F490F425E1}"/>
    <cellStyle name="Comma 5 3" xfId="21" xr:uid="{DC303C44-F1F6-480C-94FF-CA0F0C41814B}"/>
    <cellStyle name="Normal" xfId="0" builtinId="0"/>
    <cellStyle name="Normal 2" xfId="1" xr:uid="{E6A8696B-29F8-4817-8F76-653BA65C4A2E}"/>
    <cellStyle name="Normal 2 2" xfId="10" xr:uid="{CA4778F4-9731-46EA-8460-559FA7B3CACC}"/>
    <cellStyle name="Normal 3" xfId="11" xr:uid="{7158F620-BA0C-49E4-80E1-B2DC2A74F7F8}"/>
    <cellStyle name="Normal 4" xfId="12" xr:uid="{7097E372-FFB9-4D29-A0F0-BD126DA83633}"/>
    <cellStyle name="Normal 5" xfId="13" xr:uid="{5DB3A312-3AB1-44EA-B546-F8820A9A5B48}"/>
    <cellStyle name="Normal 5 2" xfId="14" xr:uid="{65A03616-56F7-4562-879E-B2B300C3AB73}"/>
    <cellStyle name="Normal 6" xfId="15" xr:uid="{AA935158-86F7-4047-BBA7-998D3D0BFC0C}"/>
    <cellStyle name="Normal 7" xfId="2" xr:uid="{A9753FD2-FBE0-4C3D-9D14-A03A420391E4}"/>
    <cellStyle name="Percent" xfId="31" builtinId="5"/>
  </cellStyles>
  <dxfs count="205">
    <dxf>
      <font>
        <color theme="0"/>
      </font>
      <fill>
        <patternFill patternType="solid">
          <fgColor auto="1"/>
          <bgColor rgb="FFC00000"/>
        </patternFill>
      </fill>
    </dxf>
    <dxf>
      <font>
        <color theme="1"/>
      </font>
      <fill>
        <patternFill patternType="solid">
          <fgColor auto="1"/>
          <bgColor theme="9" tint="0.39994506668294322"/>
        </patternFill>
      </fill>
    </dxf>
    <dxf>
      <fill>
        <patternFill patternType="solid">
          <fgColor auto="1"/>
          <bgColor theme="0" tint="-0.24994659260841701"/>
        </patternFill>
      </fill>
    </dxf>
    <dxf>
      <font>
        <color theme="0"/>
      </font>
      <fill>
        <patternFill patternType="solid">
          <fgColor auto="1"/>
          <bgColor rgb="FFC00000"/>
        </patternFill>
      </fill>
    </dxf>
    <dxf>
      <font>
        <color theme="0"/>
      </font>
      <fill>
        <patternFill patternType="solid">
          <fgColor auto="1"/>
          <bgColor rgb="FFC00000"/>
        </patternFill>
      </fill>
    </dxf>
    <dxf>
      <font>
        <color theme="1"/>
      </font>
      <fill>
        <patternFill patternType="solid">
          <fgColor auto="1"/>
          <bgColor theme="9" tint="0.39994506668294322"/>
        </patternFill>
      </fill>
    </dxf>
    <dxf>
      <font>
        <color theme="1" tint="4.9989318521683403E-2"/>
      </font>
      <fill>
        <patternFill patternType="solid">
          <fgColor auto="1"/>
          <bgColor rgb="FFFFC000"/>
        </patternFill>
      </fill>
    </dxf>
    <dxf>
      <font>
        <color theme="0"/>
      </font>
      <fill>
        <patternFill patternType="solid">
          <fgColor auto="1"/>
          <bgColor rgb="FFC00000"/>
        </patternFill>
      </fill>
    </dxf>
    <dxf>
      <font>
        <color theme="1"/>
      </font>
      <fill>
        <patternFill patternType="solid">
          <fgColor auto="1"/>
          <bgColor theme="9" tint="0.39994506668294322"/>
        </patternFill>
      </fill>
    </dxf>
    <dxf>
      <font>
        <color theme="0"/>
      </font>
      <fill>
        <patternFill patternType="solid">
          <fgColor auto="1"/>
          <bgColor rgb="FFC00000"/>
        </patternFill>
      </fill>
    </dxf>
    <dxf>
      <font>
        <color rgb="FF000000"/>
      </font>
      <fill>
        <patternFill patternType="solid">
          <fgColor auto="1"/>
          <bgColor rgb="FFFFC000"/>
        </patternFill>
      </fill>
    </dxf>
    <dxf>
      <font>
        <color rgb="FF000000"/>
      </font>
      <fill>
        <patternFill patternType="solid">
          <fgColor auto="1"/>
          <bgColor theme="9" tint="0.39994506668294322"/>
        </patternFill>
      </fill>
    </dxf>
    <dxf>
      <font>
        <color rgb="FF000000"/>
      </font>
      <fill>
        <patternFill patternType="solid">
          <fgColor auto="1"/>
          <bgColor rgb="FFFFC000"/>
        </patternFill>
      </fill>
    </dxf>
    <dxf>
      <font>
        <color rgb="FF000000"/>
      </font>
      <fill>
        <patternFill patternType="solid">
          <fgColor auto="1"/>
          <bgColor theme="9" tint="0.39994506668294322"/>
        </patternFill>
      </fill>
    </dxf>
    <dxf>
      <font>
        <color rgb="FF000000"/>
      </font>
      <fill>
        <patternFill patternType="solid">
          <fgColor auto="1"/>
          <bgColor rgb="FFFFC000"/>
        </patternFill>
      </fill>
    </dxf>
    <dxf>
      <font>
        <color theme="0"/>
      </font>
      <fill>
        <patternFill patternType="solid">
          <fgColor auto="1"/>
          <bgColor rgb="FFC00000"/>
        </patternFill>
      </fill>
    </dxf>
    <dxf>
      <font>
        <color theme="1"/>
      </font>
      <fill>
        <patternFill patternType="solid">
          <fgColor auto="1"/>
          <bgColor theme="0" tint="-0.24994659260841701"/>
        </patternFill>
      </fill>
    </dxf>
    <dxf>
      <font>
        <color theme="1"/>
      </font>
      <fill>
        <patternFill patternType="solid">
          <fgColor auto="1"/>
          <bgColor theme="9" tint="0.39994506668294322"/>
        </patternFill>
      </fill>
    </dxf>
    <dxf>
      <font>
        <color theme="1"/>
      </font>
      <fill>
        <patternFill patternType="solid">
          <fgColor auto="1"/>
          <bgColor rgb="FFFFC000"/>
        </patternFill>
      </fill>
    </dxf>
    <dxf>
      <font>
        <color theme="1"/>
      </font>
      <fill>
        <patternFill patternType="solid">
          <fgColor auto="1"/>
          <bgColor rgb="FFFFC000"/>
        </patternFill>
      </fill>
    </dxf>
    <dxf>
      <font>
        <color theme="1"/>
      </font>
      <fill>
        <patternFill patternType="solid">
          <fgColor auto="1"/>
          <bgColor theme="9" tint="0.39994506668294322"/>
        </patternFill>
      </fill>
    </dxf>
    <dxf>
      <font>
        <color theme="1"/>
      </font>
      <fill>
        <patternFill patternType="solid">
          <fgColor auto="1"/>
          <bgColor rgb="FFFFC000"/>
        </patternFill>
      </fill>
    </dxf>
    <dxf>
      <font>
        <color theme="1"/>
      </font>
      <fill>
        <patternFill patternType="solid">
          <fgColor auto="1"/>
          <bgColor theme="9" tint="0.39994506668294322"/>
        </patternFill>
      </fill>
    </dxf>
    <dxf>
      <font>
        <color theme="1"/>
      </font>
      <fill>
        <patternFill patternType="solid">
          <fgColor auto="1"/>
          <bgColor rgb="FFFFC000"/>
        </patternFill>
      </fill>
    </dxf>
    <dxf>
      <font>
        <color theme="1"/>
      </font>
      <fill>
        <patternFill patternType="solid">
          <fgColor auto="1"/>
          <bgColor theme="9" tint="0.39994506668294322"/>
        </patternFill>
      </fill>
    </dxf>
    <dxf>
      <font>
        <color theme="1"/>
      </font>
      <fill>
        <patternFill patternType="solid">
          <fgColor auto="1"/>
          <bgColor theme="9" tint="0.39994506668294322"/>
        </patternFill>
      </fill>
    </dxf>
    <dxf>
      <font>
        <color theme="0"/>
      </font>
      <fill>
        <patternFill patternType="solid">
          <fgColor auto="1"/>
          <bgColor rgb="FFC00000"/>
        </patternFill>
      </fill>
    </dxf>
    <dxf>
      <font>
        <color theme="0"/>
      </font>
      <fill>
        <patternFill patternType="solid">
          <fgColor auto="1"/>
          <bgColor rgb="FFC00000"/>
        </patternFill>
      </fill>
    </dxf>
    <dxf>
      <font>
        <color theme="1"/>
      </font>
      <fill>
        <patternFill patternType="solid">
          <fgColor auto="1"/>
          <bgColor theme="9" tint="0.39994506668294322"/>
        </patternFill>
      </fill>
    </dxf>
    <dxf>
      <font>
        <color theme="0"/>
      </font>
      <fill>
        <patternFill patternType="solid">
          <fgColor auto="1"/>
          <bgColor rgb="FFC00000"/>
        </patternFill>
      </fill>
    </dxf>
    <dxf>
      <font>
        <color theme="1"/>
      </font>
      <fill>
        <patternFill patternType="solid">
          <fgColor auto="1"/>
          <bgColor theme="9" tint="0.39994506668294322"/>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ill>
        <patternFill patternType="solid">
          <fgColor auto="1"/>
          <bgColor rgb="FFFFC000"/>
        </patternFill>
      </fill>
    </dxf>
    <dxf>
      <font>
        <color theme="0"/>
      </font>
      <fill>
        <patternFill patternType="solid">
          <fgColor auto="1"/>
          <bgColor rgb="FFC00000"/>
        </patternFill>
      </fill>
    </dxf>
    <dxf>
      <font>
        <color theme="0"/>
      </font>
      <fill>
        <patternFill patternType="solid">
          <fgColor auto="1"/>
          <bgColor rgb="FFC00000"/>
        </patternFill>
      </fill>
    </dxf>
    <dxf>
      <fill>
        <patternFill patternType="solid">
          <fgColor auto="1"/>
          <bgColor theme="9" tint="0.39994506668294322"/>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ill>
        <patternFill patternType="solid">
          <fgColor auto="1"/>
          <bgColor theme="9" tint="0.39994506668294322"/>
        </patternFill>
      </fill>
    </dxf>
    <dxf>
      <fill>
        <patternFill patternType="solid">
          <fgColor auto="1"/>
          <bgColor rgb="FFFFC000"/>
        </patternFill>
      </fill>
    </dxf>
    <dxf>
      <font>
        <color theme="0"/>
      </font>
      <fill>
        <patternFill patternType="solid">
          <fgColor auto="1"/>
          <bgColor rgb="FFC00000"/>
        </patternFill>
      </fill>
    </dxf>
    <dxf>
      <font>
        <color theme="0"/>
      </font>
      <fill>
        <patternFill patternType="solid">
          <fgColor auto="1"/>
          <bgColor rgb="FFC00000"/>
        </patternFill>
      </fill>
    </dxf>
    <dxf>
      <fill>
        <patternFill patternType="solid">
          <fgColor auto="1"/>
          <bgColor theme="9" tint="0.39994506668294322"/>
        </patternFill>
      </fill>
    </dxf>
    <dxf>
      <fill>
        <patternFill patternType="solid">
          <fgColor auto="1"/>
          <bgColor rgb="FFFFC00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ill>
        <patternFill patternType="solid">
          <fgColor auto="1"/>
          <bgColor theme="6" tint="-0.24994659260841701"/>
        </patternFill>
      </fill>
    </dxf>
    <dxf>
      <font>
        <color theme="0"/>
      </font>
      <fill>
        <patternFill patternType="solid">
          <fgColor auto="1"/>
          <bgColor rgb="FFC00000"/>
        </patternFill>
      </fill>
    </dxf>
    <dxf>
      <font>
        <color theme="0"/>
      </font>
      <fill>
        <patternFill patternType="solid">
          <fgColor auto="1"/>
          <bgColor rgb="FFC00000"/>
        </patternFill>
      </fill>
      <border>
        <left style="thin">
          <color rgb="FFFF0000"/>
        </left>
        <right style="thin">
          <color rgb="FFFF0000"/>
        </right>
        <top style="thin">
          <color rgb="FFFF0000"/>
        </top>
        <bottom style="thin">
          <color rgb="FFFF0000"/>
        </bottom>
      </border>
    </dxf>
    <dxf>
      <fill>
        <patternFill patternType="solid">
          <fgColor auto="1"/>
          <bgColor theme="9" tint="0.39994506668294322"/>
        </patternFill>
      </fill>
    </dxf>
    <dxf>
      <font>
        <color theme="0"/>
      </font>
      <fill>
        <patternFill patternType="solid">
          <fgColor auto="1"/>
          <bgColor rgb="FFC00000"/>
        </patternFill>
      </fill>
    </dxf>
    <dxf>
      <font>
        <color rgb="FF000000"/>
      </font>
      <fill>
        <patternFill patternType="solid">
          <fgColor auto="1"/>
          <bgColor theme="9" tint="0.39994506668294322"/>
        </patternFill>
      </fill>
    </dxf>
    <dxf>
      <font>
        <color theme="1"/>
      </font>
      <fill>
        <patternFill patternType="solid">
          <fgColor auto="1"/>
          <bgColor theme="9" tint="0.39994506668294322"/>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ont>
        <color theme="1"/>
      </font>
      <fill>
        <patternFill patternType="solid">
          <fgColor auto="1"/>
          <bgColor theme="0" tint="-0.24994659260841701"/>
        </patternFill>
      </fill>
    </dxf>
    <dxf>
      <fill>
        <patternFill patternType="solid">
          <fgColor auto="1"/>
          <bgColor theme="0"/>
        </patternFill>
      </fill>
    </dxf>
    <dxf>
      <fill>
        <patternFill patternType="solid">
          <fgColor auto="1"/>
          <bgColor theme="9" tint="0.39994506668294322"/>
        </patternFill>
      </fill>
    </dxf>
    <dxf>
      <font>
        <color theme="1"/>
      </font>
      <fill>
        <patternFill patternType="solid">
          <fgColor auto="1"/>
          <bgColor theme="9" tint="0.39994506668294322"/>
        </patternFill>
      </fill>
    </dxf>
    <dxf>
      <font>
        <color theme="0"/>
      </font>
      <fill>
        <patternFill patternType="solid">
          <fgColor auto="1"/>
          <bgColor rgb="FFC00000"/>
        </patternFill>
      </fill>
    </dxf>
    <dxf>
      <font>
        <color theme="0"/>
      </font>
      <fill>
        <patternFill patternType="solid">
          <fgColor auto="1"/>
          <bgColor rgb="FFC00000"/>
        </patternFill>
      </fill>
    </dxf>
    <dxf>
      <fill>
        <patternFill patternType="solid">
          <fgColor auto="1"/>
          <bgColor theme="5" tint="0.59996337778862885"/>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ill>
        <patternFill patternType="solid">
          <fgColor auto="1"/>
          <bgColor theme="9" tint="0.39994506668294322"/>
        </patternFill>
      </fill>
    </dxf>
    <dxf>
      <fill>
        <patternFill patternType="solid">
          <fgColor auto="1"/>
          <bgColor rgb="FFFFC00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ill>
        <patternFill patternType="solid">
          <fgColor auto="1"/>
          <bgColor theme="9" tint="0.39994506668294322"/>
        </patternFill>
      </fill>
    </dxf>
    <dxf>
      <font>
        <color theme="0"/>
      </font>
      <fill>
        <patternFill patternType="solid">
          <fgColor auto="1"/>
          <bgColor rgb="FFC00000"/>
        </patternFill>
      </fill>
    </dxf>
    <dxf>
      <fill>
        <patternFill patternType="solid">
          <fgColor auto="1"/>
          <bgColor rgb="FFFFC000"/>
        </patternFill>
      </fill>
    </dxf>
    <dxf>
      <fill>
        <patternFill patternType="solid">
          <fgColor auto="1"/>
          <bgColor theme="9" tint="0.39994506668294322"/>
        </patternFill>
      </fill>
    </dxf>
    <dxf>
      <font>
        <color theme="0"/>
      </font>
      <fill>
        <patternFill patternType="solid">
          <fgColor auto="1"/>
          <bgColor rgb="FFC00000"/>
        </patternFill>
      </fill>
    </dxf>
    <dxf>
      <fill>
        <patternFill patternType="solid">
          <fgColor auto="1"/>
          <bgColor rgb="FFFFC00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ill>
        <patternFill patternType="solid">
          <fgColor auto="1"/>
          <bgColor theme="6" tint="-0.24994659260841701"/>
        </patternFill>
      </fill>
    </dxf>
    <dxf>
      <font>
        <color theme="0"/>
      </font>
      <fill>
        <patternFill patternType="solid">
          <fgColor auto="1"/>
          <bgColor rgb="FFC00000"/>
        </patternFill>
      </fill>
    </dxf>
    <dxf>
      <font>
        <color theme="0"/>
      </font>
      <fill>
        <patternFill patternType="solid">
          <fgColor auto="1"/>
          <bgColor rgb="FFC00000"/>
        </patternFill>
      </fill>
      <border>
        <left style="thin">
          <color rgb="FFFF0000"/>
        </left>
        <right style="thin">
          <color rgb="FFFF0000"/>
        </right>
        <top style="thin">
          <color rgb="FFFF0000"/>
        </top>
        <bottom style="thin">
          <color rgb="FFFF0000"/>
        </bottom>
      </border>
    </dxf>
    <dxf>
      <fill>
        <patternFill patternType="solid">
          <fgColor auto="1"/>
          <bgColor theme="9" tint="0.39994506668294322"/>
        </patternFill>
      </fill>
    </dxf>
    <dxf>
      <fill>
        <patternFill patternType="solid">
          <fgColor auto="1"/>
          <bgColor theme="9" tint="0.39994506668294322"/>
        </patternFill>
      </fill>
    </dxf>
    <dxf>
      <font>
        <color theme="0"/>
      </font>
      <fill>
        <patternFill patternType="solid">
          <fgColor auto="1"/>
          <bgColor rgb="FFC00000"/>
        </patternFill>
      </fill>
    </dxf>
    <dxf>
      <font>
        <color theme="0"/>
      </font>
      <fill>
        <patternFill patternType="solid">
          <fgColor auto="1"/>
          <bgColor rgb="FFC00000"/>
        </patternFill>
      </fill>
    </dxf>
    <dxf>
      <font>
        <color rgb="FF000000"/>
      </font>
      <fill>
        <patternFill patternType="solid">
          <fgColor auto="1"/>
          <bgColor theme="9" tint="0.39994506668294322"/>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ont>
        <color theme="1"/>
      </font>
      <fill>
        <patternFill patternType="solid">
          <fgColor auto="1"/>
          <bgColor theme="9" tint="0.39994506668294322"/>
        </patternFill>
      </fill>
    </dxf>
    <dxf>
      <font>
        <color theme="0"/>
      </font>
      <fill>
        <patternFill patternType="solid">
          <fgColor auto="1"/>
          <bgColor rgb="FFC00000"/>
        </patternFill>
      </fill>
    </dxf>
    <dxf>
      <font>
        <color theme="0"/>
      </font>
      <fill>
        <patternFill patternType="solid">
          <fgColor auto="1"/>
          <bgColor rgb="FFC00000"/>
        </patternFill>
      </fill>
    </dxf>
    <dxf>
      <font>
        <color theme="1"/>
      </font>
      <fill>
        <patternFill patternType="solid">
          <fgColor auto="1"/>
          <bgColor theme="0" tint="-0.24994659260841701"/>
        </patternFill>
      </fill>
    </dxf>
    <dxf>
      <fill>
        <patternFill patternType="solid">
          <fgColor auto="1"/>
          <bgColor theme="0"/>
        </patternFill>
      </fill>
    </dxf>
    <dxf>
      <fill>
        <patternFill patternType="solid">
          <fgColor auto="1"/>
          <bgColor theme="9" tint="0.39994506668294322"/>
        </patternFill>
      </fill>
    </dxf>
    <dxf>
      <font>
        <color theme="1"/>
      </font>
      <fill>
        <patternFill patternType="solid">
          <fgColor auto="1"/>
          <bgColor theme="9" tint="0.39994506668294322"/>
        </patternFill>
      </fill>
    </dxf>
    <dxf>
      <font>
        <color theme="0"/>
      </font>
      <fill>
        <patternFill patternType="solid">
          <fgColor auto="1"/>
          <bgColor rgb="FFC00000"/>
        </patternFill>
      </fill>
    </dxf>
    <dxf>
      <font>
        <color theme="0"/>
      </font>
      <fill>
        <patternFill patternType="solid">
          <fgColor auto="1"/>
          <bgColor rgb="FFC00000"/>
        </patternFill>
      </fill>
    </dxf>
    <dxf>
      <fill>
        <patternFill patternType="solid">
          <fgColor auto="1"/>
          <bgColor theme="5" tint="0.59996337778862885"/>
        </patternFill>
      </fill>
    </dxf>
    <dxf>
      <font>
        <color theme="0"/>
      </font>
      <fill>
        <patternFill patternType="solid">
          <fgColor auto="1"/>
          <bgColor rgb="FFC00000"/>
        </patternFill>
      </fill>
    </dxf>
    <dxf>
      <fill>
        <patternFill patternType="solid">
          <fgColor auto="1"/>
          <bgColor theme="5" tint="0.59996337778862885"/>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ill>
        <patternFill patternType="solid">
          <fgColor auto="1"/>
          <bgColor rgb="FFFFC000"/>
        </patternFill>
      </fill>
    </dxf>
    <dxf>
      <fill>
        <patternFill patternType="solid">
          <fgColor auto="1"/>
          <bgColor rgb="FFFFC000"/>
        </patternFill>
      </fill>
    </dxf>
    <dxf>
      <fill>
        <patternFill patternType="solid">
          <fgColor auto="1"/>
          <bgColor rgb="FF92D05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ill>
        <patternFill patternType="solid">
          <fgColor auto="1"/>
          <bgColor rgb="FFFFC000"/>
        </patternFill>
      </fill>
    </dxf>
    <dxf>
      <font>
        <color theme="0"/>
      </font>
      <fill>
        <patternFill patternType="solid">
          <fgColor auto="1"/>
          <bgColor rgb="FFC00000"/>
        </patternFill>
      </fill>
    </dxf>
    <dxf>
      <fill>
        <patternFill patternType="solid">
          <fgColor auto="1"/>
          <bgColor theme="9" tint="0.39994506668294322"/>
        </patternFill>
      </fill>
    </dxf>
    <dxf>
      <fill>
        <patternFill patternType="solid">
          <fgColor auto="1"/>
          <bgColor rgb="FFFFC000"/>
        </patternFill>
      </fill>
    </dxf>
    <dxf>
      <font>
        <color theme="0"/>
      </font>
      <fill>
        <patternFill patternType="solid">
          <fgColor auto="1"/>
          <bgColor rgb="FFC00000"/>
        </patternFill>
      </fill>
    </dxf>
    <dxf>
      <fill>
        <patternFill patternType="solid">
          <fgColor auto="1"/>
          <bgColor theme="9" tint="0.39994506668294322"/>
        </patternFill>
      </fill>
    </dxf>
    <dxf>
      <fill>
        <patternFill patternType="solid">
          <fgColor auto="1"/>
          <bgColor rgb="FFFFC000"/>
        </patternFill>
      </fill>
    </dxf>
    <dxf>
      <font>
        <color theme="0"/>
      </font>
      <fill>
        <patternFill patternType="solid">
          <fgColor auto="1"/>
          <bgColor rgb="FFC00000"/>
        </patternFill>
      </fill>
    </dxf>
    <dxf>
      <fill>
        <patternFill patternType="solid">
          <fgColor auto="1"/>
          <bgColor theme="9" tint="0.39994506668294322"/>
        </patternFill>
      </fill>
    </dxf>
    <dxf>
      <fill>
        <patternFill patternType="solid">
          <fgColor auto="1"/>
          <bgColor rgb="FFFFC000"/>
        </patternFill>
      </fill>
    </dxf>
    <dxf>
      <fill>
        <patternFill patternType="solid">
          <fgColor auto="1"/>
          <bgColor rgb="FFFFC00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ont>
        <color theme="0"/>
      </font>
      <fill>
        <patternFill patternType="solid">
          <fgColor auto="1"/>
          <bgColor rgb="FFC00000"/>
        </patternFill>
      </fill>
    </dxf>
    <dxf>
      <fill>
        <patternFill patternType="solid">
          <fgColor auto="1"/>
          <bgColor theme="6" tint="-0.24994659260841701"/>
        </patternFill>
      </fill>
    </dxf>
    <dxf>
      <font>
        <color theme="0"/>
      </font>
      <fill>
        <patternFill patternType="solid">
          <fgColor auto="1"/>
          <bgColor rgb="FFC00000"/>
        </patternFill>
      </fill>
    </dxf>
    <dxf>
      <font>
        <color theme="0"/>
      </font>
      <fill>
        <patternFill patternType="solid">
          <fgColor auto="1"/>
          <bgColor rgb="FFC00000"/>
        </patternFill>
      </fill>
      <border>
        <left style="thin">
          <color rgb="FFFF0000"/>
        </left>
        <right style="thin">
          <color rgb="FFFF0000"/>
        </right>
        <top style="thin">
          <color rgb="FFFF0000"/>
        </top>
        <bottom style="thin">
          <color rgb="FFFF0000"/>
        </bottom>
      </border>
    </dxf>
    <dxf>
      <font>
        <color theme="0"/>
      </font>
      <fill>
        <patternFill patternType="solid">
          <fgColor auto="1"/>
          <bgColor rgb="FFC00000"/>
        </patternFill>
      </fill>
    </dxf>
    <dxf>
      <font>
        <color rgb="FF000000"/>
      </font>
      <fill>
        <patternFill patternType="solid">
          <fgColor auto="1"/>
          <bgColor theme="9" tint="0.39994506668294322"/>
        </patternFill>
      </fill>
    </dxf>
    <dxf>
      <font>
        <color theme="0"/>
      </font>
      <fill>
        <patternFill patternType="solid">
          <fgColor auto="1"/>
          <bgColor rgb="FFC00000"/>
        </patternFill>
      </fill>
    </dxf>
    <dxf>
      <font>
        <color rgb="FF000000"/>
      </font>
      <fill>
        <patternFill patternType="solid">
          <fgColor auto="1"/>
          <bgColor theme="9" tint="0.39994506668294322"/>
        </patternFill>
      </fill>
    </dxf>
    <dxf>
      <font>
        <color theme="0"/>
      </font>
      <fill>
        <patternFill patternType="solid">
          <fgColor auto="1"/>
          <bgColor rgb="FFC00000"/>
        </patternFill>
      </fill>
    </dxf>
    <dxf>
      <font>
        <color theme="1"/>
      </font>
      <fill>
        <patternFill patternType="solid">
          <fgColor auto="1"/>
          <bgColor theme="9" tint="0.39994506668294322"/>
        </patternFill>
      </fill>
    </dxf>
    <dxf>
      <font>
        <color theme="0"/>
      </font>
      <fill>
        <patternFill patternType="solid">
          <fgColor auto="1"/>
          <bgColor rgb="FFC00000"/>
        </patternFill>
      </fill>
    </dxf>
    <dxf>
      <font>
        <color theme="1"/>
      </font>
      <fill>
        <patternFill patternType="solid">
          <fgColor auto="1"/>
          <bgColor theme="9" tint="0.39994506668294322"/>
        </patternFill>
      </fill>
    </dxf>
    <dxf>
      <font>
        <color theme="0"/>
      </font>
      <fill>
        <patternFill patternType="solid">
          <fgColor auto="1"/>
          <bgColor rgb="FFC00000"/>
        </patternFill>
      </fill>
    </dxf>
    <dxf>
      <font>
        <color theme="0"/>
      </font>
      <fill>
        <patternFill patternType="solid">
          <fgColor auto="1"/>
          <bgColor rgb="FFC00000"/>
        </patternFill>
      </fill>
    </dxf>
    <dxf>
      <font>
        <color theme="1"/>
      </font>
      <fill>
        <patternFill patternType="solid">
          <fgColor auto="1"/>
          <bgColor theme="0" tint="-0.34998626667073579"/>
        </patternFill>
      </fill>
    </dxf>
    <dxf>
      <font>
        <color theme="1"/>
      </font>
      <fill>
        <patternFill patternType="solid">
          <fgColor auto="1"/>
          <bgColor theme="0" tint="-0.24994659260841701"/>
        </patternFill>
      </fill>
    </dxf>
    <dxf>
      <font>
        <color theme="0"/>
      </font>
      <fill>
        <patternFill patternType="solid">
          <fgColor auto="1"/>
          <bgColor rgb="FFC00000"/>
        </patternFill>
      </fill>
    </dxf>
    <dxf>
      <fill>
        <patternFill patternType="solid">
          <fgColor auto="1"/>
          <bgColor theme="9" tint="0.39994506668294322"/>
        </patternFill>
      </fill>
    </dxf>
    <dxf>
      <fill>
        <patternFill patternType="solid">
          <fgColor auto="1"/>
          <bgColor theme="0"/>
        </patternFill>
      </fill>
    </dxf>
    <dxf>
      <font>
        <color theme="0"/>
      </font>
      <fill>
        <patternFill patternType="solid">
          <fgColor auto="1"/>
          <bgColor rgb="FFC00000"/>
        </patternFill>
      </fill>
      <border>
        <left style="thin">
          <color rgb="FF000000"/>
        </left>
        <right style="thin">
          <color rgb="FF000000"/>
        </right>
        <top style="thin">
          <color rgb="FF000000"/>
        </top>
        <bottom style="thin">
          <color rgb="FF000000"/>
        </bottom>
      </border>
    </dxf>
    <dxf>
      <font>
        <color theme="0"/>
      </font>
      <fill>
        <patternFill patternType="solid">
          <fgColor auto="1"/>
          <bgColor rgb="FFC00000"/>
        </patternFill>
      </fill>
    </dxf>
    <dxf>
      <font>
        <color theme="0"/>
      </font>
      <fill>
        <patternFill patternType="solid">
          <fgColor auto="1"/>
          <bgColor rgb="FFC00000"/>
        </patternFill>
      </fill>
    </dxf>
    <dxf>
      <font>
        <color theme="1"/>
      </font>
      <fill>
        <patternFill patternType="solid">
          <fgColor auto="1"/>
          <bgColor theme="9" tint="0.39994506668294322"/>
        </patternFill>
      </fill>
    </dxf>
    <dxf>
      <font>
        <color theme="0"/>
      </font>
      <fill>
        <patternFill patternType="solid">
          <fgColor auto="1"/>
          <bgColor rgb="FFC00000"/>
        </patternFill>
      </fill>
    </dxf>
    <dxf>
      <font>
        <color theme="0"/>
      </font>
      <fill>
        <patternFill patternType="solid">
          <fgColor auto="1"/>
          <bgColor rgb="FFC00000"/>
        </patternFill>
      </fill>
    </dxf>
    <dxf>
      <fill>
        <patternFill patternType="solid">
          <fgColor auto="1"/>
          <bgColor rgb="FFFFC000"/>
        </patternFill>
      </fill>
    </dxf>
    <dxf>
      <font>
        <color theme="0"/>
      </font>
      <fill>
        <patternFill patternType="solid">
          <fgColor auto="1"/>
          <bgColor rgb="FFC00000"/>
        </patternFill>
      </fill>
    </dxf>
    <dxf>
      <font>
        <b/>
        <color theme="0"/>
      </font>
      <fill>
        <patternFill patternType="solid">
          <fgColor auto="1"/>
          <bgColor rgb="FFC00000"/>
        </patternFill>
      </fill>
    </dxf>
    <dxf>
      <font>
        <b/>
        <color theme="1"/>
      </font>
      <fill>
        <patternFill patternType="solid">
          <fgColor auto="1"/>
          <bgColor rgb="FFFFC000"/>
        </patternFill>
      </fill>
    </dxf>
    <dxf>
      <font>
        <b/>
        <color theme="0"/>
      </font>
      <fill>
        <patternFill patternType="solid">
          <fgColor auto="1"/>
          <bgColor rgb="FFC00000"/>
        </patternFill>
      </fill>
    </dxf>
    <dxf>
      <fill>
        <patternFill patternType="solid">
          <fgColor auto="1"/>
          <bgColor rgb="FFFFC000"/>
        </patternFill>
      </fill>
    </dxf>
    <dxf>
      <font>
        <b/>
        <color theme="0"/>
      </font>
      <fill>
        <patternFill patternType="solid">
          <fgColor auto="1"/>
          <bgColor rgb="FFC00000"/>
        </patternFill>
      </fill>
    </dxf>
    <dxf>
      <font>
        <b/>
        <color theme="0"/>
      </font>
      <fill>
        <patternFill patternType="solid">
          <fgColor auto="1"/>
          <bgColor rgb="FFC00000"/>
        </patternFill>
      </fill>
    </dxf>
    <dxf>
      <font>
        <b/>
      </font>
      <fill>
        <patternFill patternType="solid">
          <fgColor auto="1"/>
          <bgColor theme="9" tint="0.39994506668294322"/>
        </patternFill>
      </fill>
    </dxf>
    <dxf>
      <font>
        <b/>
        <color theme="0"/>
      </font>
      <fill>
        <patternFill patternType="solid">
          <fgColor auto="1"/>
          <bgColor rgb="FFC00000"/>
        </patternFill>
      </fill>
    </dxf>
    <dxf>
      <font>
        <b/>
      </font>
      <fill>
        <patternFill patternType="solid">
          <fgColor auto="1"/>
          <bgColor rgb="FFFFC000"/>
        </patternFill>
      </fill>
    </dxf>
    <dxf>
      <font>
        <b/>
      </font>
      <fill>
        <patternFill patternType="solid">
          <fgColor auto="1"/>
          <bgColor theme="9" tint="0.39994506668294322"/>
        </patternFill>
      </fill>
    </dxf>
    <dxf>
      <font>
        <b/>
        <color theme="0"/>
      </font>
      <fill>
        <patternFill patternType="solid">
          <fgColor auto="1"/>
          <bgColor rgb="FFC00000"/>
        </patternFill>
      </fill>
    </dxf>
    <dxf>
      <font>
        <b/>
      </font>
      <fill>
        <patternFill patternType="solid">
          <fgColor auto="1"/>
          <bgColor rgb="FFFFC000"/>
        </patternFill>
      </fill>
    </dxf>
    <dxf>
      <font>
        <b/>
        <color theme="1"/>
      </font>
      <fill>
        <patternFill patternType="solid">
          <fgColor auto="1"/>
          <bgColor theme="9" tint="0.39994506668294322"/>
        </patternFill>
      </fill>
    </dxf>
    <dxf>
      <fill>
        <patternFill patternType="solid">
          <fgColor auto="1"/>
          <bgColor rgb="FFFFC000"/>
        </patternFill>
      </fill>
    </dxf>
    <dxf>
      <font>
        <b/>
        <color theme="0"/>
      </font>
      <fill>
        <patternFill patternType="solid">
          <fgColor auto="1"/>
          <bgColor rgb="FFC00000"/>
        </patternFill>
      </fill>
    </dxf>
    <dxf>
      <font>
        <b/>
        <color theme="1"/>
      </font>
      <fill>
        <patternFill patternType="solid">
          <fgColor auto="1"/>
          <bgColor theme="9" tint="0.39994506668294322"/>
        </patternFill>
      </fill>
    </dxf>
    <dxf>
      <font>
        <b/>
        <color theme="1"/>
      </font>
      <fill>
        <patternFill patternType="solid">
          <fgColor auto="1"/>
          <bgColor theme="9" tint="0.39994506668294322"/>
        </patternFill>
      </fill>
    </dxf>
    <dxf>
      <font>
        <b/>
        <color theme="0"/>
      </font>
      <fill>
        <patternFill patternType="solid">
          <fgColor auto="1"/>
          <bgColor rgb="FFC00000"/>
        </patternFill>
      </fill>
    </dxf>
    <dxf>
      <font>
        <b/>
      </font>
      <fill>
        <patternFill patternType="solid">
          <fgColor auto="1"/>
          <bgColor theme="9" tint="0.39994506668294322"/>
        </patternFill>
      </fill>
    </dxf>
    <dxf>
      <font>
        <color theme="0"/>
      </font>
      <fill>
        <patternFill patternType="solid">
          <fgColor auto="1"/>
          <bgColor rgb="FFC00000"/>
        </patternFill>
      </fill>
    </dxf>
    <dxf>
      <font>
        <color theme="1"/>
      </font>
      <fill>
        <patternFill patternType="solid">
          <fgColor auto="1"/>
          <bgColor rgb="FFFFC000"/>
        </patternFill>
      </fill>
    </dxf>
    <dxf>
      <font>
        <color theme="0"/>
      </font>
      <fill>
        <patternFill patternType="solid">
          <fgColor auto="1"/>
          <bgColor rgb="FFC00000"/>
        </patternFill>
      </fill>
    </dxf>
    <dxf>
      <font>
        <color theme="1"/>
      </font>
      <fill>
        <patternFill patternType="solid">
          <fgColor auto="1"/>
          <bgColor rgb="FFFFC000"/>
        </patternFill>
      </fill>
    </dxf>
    <dxf>
      <font>
        <color theme="0"/>
      </font>
      <fill>
        <patternFill patternType="solid">
          <fgColor auto="1"/>
          <bgColor rgb="FFC00000"/>
        </patternFill>
      </fill>
    </dxf>
    <dxf>
      <font>
        <color theme="0"/>
      </font>
      <fill>
        <patternFill patternType="solid">
          <fgColor auto="1"/>
          <bgColor rgb="FFC00000"/>
        </patternFill>
      </fill>
    </dxf>
    <dxf>
      <font>
        <b/>
        <color theme="1"/>
      </font>
      <fill>
        <patternFill patternType="solid">
          <fgColor auto="1"/>
          <bgColor theme="9" tint="0.39994506668294322"/>
        </patternFill>
      </fill>
    </dxf>
    <dxf>
      <font>
        <color theme="1"/>
      </font>
      <border>
        <left style="thin">
          <color indexed="64"/>
        </left>
        <right style="thin">
          <color indexed="64"/>
        </right>
        <top style="thin">
          <color indexed="64"/>
        </top>
      </border>
    </dxf>
    <dxf>
      <font>
        <color theme="1"/>
      </font>
      <border>
        <top style="thin">
          <color indexed="64"/>
        </top>
        <bottom style="thin">
          <color indexed="64"/>
        </bottom>
      </border>
    </dxf>
    <dxf>
      <font>
        <color theme="1"/>
      </font>
      <border>
        <top style="thin">
          <color indexed="64"/>
        </top>
        <bottom style="thin">
          <color indexed="64"/>
        </bottom>
      </border>
    </dxf>
    <dxf>
      <font>
        <color theme="1"/>
      </font>
      <border>
        <left style="thin">
          <color indexed="64"/>
        </left>
        <right style="thin">
          <color indexed="64"/>
        </right>
        <top style="thin">
          <color indexed="64"/>
        </top>
        <bottom style="thin">
          <color indexed="64"/>
        </bottom>
      </border>
    </dxf>
    <dxf>
      <font>
        <color theme="1"/>
      </font>
      <border>
        <top style="thin">
          <color indexed="64"/>
        </top>
        <bottom style="thin">
          <color indexed="64"/>
        </bottom>
      </border>
    </dxf>
  </dxfs>
  <tableStyles count="0" defaultTableStyle="TableStyleMedium2" defaultPivotStyle="PivotStyleLight16"/>
  <colors>
    <mruColors>
      <color rgb="FFF2F0D9"/>
      <color rgb="FFF2EAD9"/>
      <color rgb="FFFFFF99"/>
      <color rgb="FFFFCCFF"/>
      <color rgb="FF305496"/>
      <color rgb="FFBDD7EE"/>
      <color rgb="FF005E5C"/>
      <color rgb="FF7B7B7B"/>
      <color rgb="FFF2F2F2"/>
      <color rgb="FFE2C4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'8. Headline Results'!$C$35</c:f>
              <c:strCache>
                <c:ptCount val="1"/>
                <c:pt idx="0">
                  <c:v>Baseline</c:v>
                </c:pt>
              </c:strCache>
            </c:strRef>
          </c:tx>
          <c:spPr>
            <a:solidFill>
              <a:schemeClr val="accent1">
                <a:shade val="76000"/>
              </a:schemeClr>
            </a:solidFill>
            <a:ln>
              <a:noFill/>
            </a:ln>
            <a:effectLst/>
          </c:spPr>
          <c:invertIfNegative val="0"/>
          <c:cat>
            <c:strRef>
              <c:f>'8. Headline Results'!$C$15:$C$17</c:f>
              <c:strCache>
                <c:ptCount val="3"/>
                <c:pt idx="0">
                  <c:v>Habitat units</c:v>
                </c:pt>
                <c:pt idx="1">
                  <c:v>Hedgerow units</c:v>
                </c:pt>
                <c:pt idx="2">
                  <c:v>Watercourse units</c:v>
                </c:pt>
              </c:strCache>
            </c:strRef>
          </c:cat>
          <c:val>
            <c:numRef>
              <c:f>'8. Headline Results'!$C$36:$C$38</c:f>
              <c:numCache>
                <c:formatCode>0.00</c:formatCode>
                <c:ptCount val="3"/>
                <c:pt idx="0">
                  <c:v>2.9237599999999996E-3</c:v>
                </c:pt>
                <c:pt idx="1">
                  <c:v>0</c:v>
                </c:pt>
                <c:pt idx="2">
                  <c:v>0</c:v>
                </c:pt>
              </c:numCache>
            </c:numRef>
          </c:val>
          <c:extLst>
            <c:ext xmlns:c16="http://schemas.microsoft.com/office/drawing/2014/chart" uri="{C3380CC4-5D6E-409C-BE32-E72D297353CC}">
              <c16:uniqueId val="{00000000-ADE3-43C7-9D3E-9711237677AE}"/>
            </c:ext>
          </c:extLst>
        </c:ser>
        <c:ser>
          <c:idx val="1"/>
          <c:order val="1"/>
          <c:tx>
            <c:strRef>
              <c:f>'8. Headline Results'!$D$35</c:f>
              <c:strCache>
                <c:ptCount val="1"/>
                <c:pt idx="0">
                  <c:v>Provision</c:v>
                </c:pt>
              </c:strCache>
            </c:strRef>
          </c:tx>
          <c:spPr>
            <a:solidFill>
              <a:schemeClr val="accent1">
                <a:tint val="77000"/>
              </a:schemeClr>
            </a:solidFill>
            <a:ln>
              <a:noFill/>
            </a:ln>
            <a:effectLst/>
          </c:spPr>
          <c:invertIfNegative val="0"/>
          <c:cat>
            <c:strRef>
              <c:f>'8. Headline Results'!$C$15:$C$17</c:f>
              <c:strCache>
                <c:ptCount val="3"/>
                <c:pt idx="0">
                  <c:v>Habitat units</c:v>
                </c:pt>
                <c:pt idx="1">
                  <c:v>Hedgerow units</c:v>
                </c:pt>
                <c:pt idx="2">
                  <c:v>Watercourse units</c:v>
                </c:pt>
              </c:strCache>
            </c:strRef>
          </c:cat>
          <c:val>
            <c:numRef>
              <c:f>'8. Headline Results'!$D$36:$D$38</c:f>
              <c:numCache>
                <c:formatCode>0.00</c:formatCode>
                <c:ptCount val="3"/>
                <c:pt idx="0">
                  <c:v>0</c:v>
                </c:pt>
                <c:pt idx="1">
                  <c:v>0</c:v>
                </c:pt>
                <c:pt idx="2">
                  <c:v>0</c:v>
                </c:pt>
              </c:numCache>
            </c:numRef>
          </c:val>
          <c:extLst>
            <c:ext xmlns:c16="http://schemas.microsoft.com/office/drawing/2014/chart" uri="{C3380CC4-5D6E-409C-BE32-E72D297353CC}">
              <c16:uniqueId val="{00000001-ADE3-43C7-9D3E-9711237677AE}"/>
            </c:ext>
          </c:extLst>
        </c:ser>
        <c:dLbls>
          <c:showLegendKey val="0"/>
          <c:showVal val="0"/>
          <c:showCatName val="0"/>
          <c:showSerName val="0"/>
          <c:showPercent val="0"/>
          <c:showBubbleSize val="0"/>
        </c:dLbls>
        <c:gapWidth val="219"/>
        <c:overlap val="-27"/>
        <c:axId val="1258806416"/>
        <c:axId val="1258809040"/>
      </c:barChart>
      <c:catAx>
        <c:axId val="125880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258809040"/>
        <c:crosses val="autoZero"/>
        <c:auto val="1"/>
        <c:lblAlgn val="ctr"/>
        <c:lblOffset val="100"/>
        <c:noMultiLvlLbl val="0"/>
      </c:catAx>
      <c:valAx>
        <c:axId val="1258809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8806416"/>
        <c:crosses val="autoZero"/>
        <c:crossBetween val="between"/>
      </c:valAx>
      <c:spPr>
        <a:noFill/>
        <a:ln>
          <a:noFill/>
        </a:ln>
        <a:effectLst/>
      </c:spPr>
    </c:plotArea>
    <c:legend>
      <c:legendPos val="b"/>
      <c:layout>
        <c:manualLayout>
          <c:xMode val="edge"/>
          <c:yMode val="edge"/>
          <c:x val="0.32953449664779744"/>
          <c:y val="0.91915952146809421"/>
          <c:w val="0.33106907529716639"/>
          <c:h val="6.13413602144800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g"/><Relationship Id="rId1" Type="http://schemas.openxmlformats.org/officeDocument/2006/relationships/image" Target="../media/image2.jpg"/><Relationship Id="rId5" Type="http://schemas.openxmlformats.org/officeDocument/2006/relationships/image" Target="../media/image6.jp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9</xdr:col>
      <xdr:colOff>458950</xdr:colOff>
      <xdr:row>24</xdr:row>
      <xdr:rowOff>58105</xdr:rowOff>
    </xdr:from>
    <xdr:ext cx="2554995" cy="264560"/>
    <xdr:sp macro="" textlink="">
      <xdr:nvSpPr>
        <xdr:cNvPr id="2" name="TextBox 4">
          <a:extLst>
            <a:ext uri="{FF2B5EF4-FFF2-40B4-BE49-F238E27FC236}">
              <a16:creationId xmlns:a16="http://schemas.microsoft.com/office/drawing/2014/main" id="{00000000-0008-0000-0000-000002000000}"/>
            </a:ext>
          </a:extLst>
        </xdr:cNvPr>
        <xdr:cNvSpPr txBox="1"/>
      </xdr:nvSpPr>
      <xdr:spPr>
        <a:xfrm>
          <a:off x="6142200" y="5407980"/>
          <a:ext cx="255499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0" i="0">
              <a:solidFill>
                <a:sysClr val="windowText" lastClr="000000"/>
              </a:solidFill>
              <a:effectLst/>
              <a:latin typeface="+mn-lt"/>
              <a:ea typeface="+mn-ea"/>
              <a:cs typeface="+mn-cs"/>
            </a:rPr>
            <a:t>©</a:t>
          </a:r>
          <a:r>
            <a:rPr lang="en-GB" sz="1100">
              <a:solidFill>
                <a:sysClr val="windowText" lastClr="000000"/>
              </a:solidFill>
            </a:rPr>
            <a:t> </a:t>
          </a:r>
          <a:r>
            <a:rPr lang="en-GB" sz="1100" b="0" i="0">
              <a:solidFill>
                <a:schemeClr val="tx1"/>
              </a:solidFill>
              <a:effectLst/>
              <a:latin typeface="+mn-lt"/>
              <a:ea typeface="+mn-ea"/>
              <a:cs typeface="+mn-cs"/>
            </a:rPr>
            <a:t> Natural England/Margaret Nieke 2012</a:t>
          </a:r>
          <a:endParaRPr lang="en-GB" sz="1100">
            <a:solidFill>
              <a:sysClr val="windowText" lastClr="000000"/>
            </a:solidFill>
          </a:endParaRPr>
        </a:p>
      </xdr:txBody>
    </xdr:sp>
    <xdr:clientData/>
  </xdr:oneCellAnchor>
  <xdr:oneCellAnchor>
    <xdr:from>
      <xdr:col>9</xdr:col>
      <xdr:colOff>504825</xdr:colOff>
      <xdr:row>0</xdr:row>
      <xdr:rowOff>0</xdr:rowOff>
    </xdr:from>
    <xdr:ext cx="5734050" cy="5419725"/>
    <xdr:pic>
      <xdr:nvPicPr>
        <xdr:cNvPr id="3" name="Picture 5">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0" y="0"/>
          <a:ext cx="5734050" cy="54197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0</xdr:colOff>
      <xdr:row>12</xdr:row>
      <xdr:rowOff>1</xdr:rowOff>
    </xdr:from>
    <xdr:ext cx="2778125" cy="3701852"/>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3984625" y="10985501"/>
          <a:ext cx="2778125" cy="3701852"/>
        </a:xfrm>
        <a:prstGeom prst="rect">
          <a:avLst/>
        </a:prstGeom>
      </xdr:spPr>
    </xdr:pic>
    <xdr:clientData/>
  </xdr:oneCellAnchor>
  <xdr:oneCellAnchor>
    <xdr:from>
      <xdr:col>3</xdr:col>
      <xdr:colOff>0</xdr:colOff>
      <xdr:row>10</xdr:row>
      <xdr:rowOff>0</xdr:rowOff>
    </xdr:from>
    <xdr:ext cx="2982576" cy="3444875"/>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tretch>
          <a:fillRect/>
        </a:stretch>
      </xdr:blipFill>
      <xdr:spPr>
        <a:xfrm>
          <a:off x="3984625" y="6731000"/>
          <a:ext cx="2982576" cy="3444875"/>
        </a:xfrm>
        <a:prstGeom prst="rect">
          <a:avLst/>
        </a:prstGeom>
      </xdr:spPr>
    </xdr:pic>
    <xdr:clientData/>
  </xdr:oneCellAnchor>
  <xdr:twoCellAnchor editAs="oneCell">
    <xdr:from>
      <xdr:col>2</xdr:col>
      <xdr:colOff>2444750</xdr:colOff>
      <xdr:row>18</xdr:row>
      <xdr:rowOff>15875</xdr:rowOff>
    </xdr:from>
    <xdr:to>
      <xdr:col>3</xdr:col>
      <xdr:colOff>2587625</xdr:colOff>
      <xdr:row>18</xdr:row>
      <xdr:rowOff>3257074</xdr:rowOff>
    </xdr:to>
    <xdr:pic>
      <xdr:nvPicPr>
        <xdr:cNvPr id="6" name="Picture 5">
          <a:extLst>
            <a:ext uri="{FF2B5EF4-FFF2-40B4-BE49-F238E27FC236}">
              <a16:creationId xmlns:a16="http://schemas.microsoft.com/office/drawing/2014/main" id="{3BBFB272-A4AD-B13B-49DE-6294DEAB2964}"/>
            </a:ext>
          </a:extLst>
        </xdr:cNvPr>
        <xdr:cNvPicPr>
          <a:picLocks noChangeAspect="1"/>
        </xdr:cNvPicPr>
      </xdr:nvPicPr>
      <xdr:blipFill>
        <a:blip xmlns:r="http://schemas.openxmlformats.org/officeDocument/2006/relationships" r:embed="rId3"/>
        <a:stretch>
          <a:fillRect/>
        </a:stretch>
      </xdr:blipFill>
      <xdr:spPr>
        <a:xfrm>
          <a:off x="3968750" y="23764875"/>
          <a:ext cx="2603500" cy="3241199"/>
        </a:xfrm>
        <a:prstGeom prst="rect">
          <a:avLst/>
        </a:prstGeom>
      </xdr:spPr>
    </xdr:pic>
    <xdr:clientData/>
  </xdr:twoCellAnchor>
  <xdr:twoCellAnchor editAs="oneCell">
    <xdr:from>
      <xdr:col>3</xdr:col>
      <xdr:colOff>63500</xdr:colOff>
      <xdr:row>13</xdr:row>
      <xdr:rowOff>365125</xdr:rowOff>
    </xdr:from>
    <xdr:to>
      <xdr:col>3</xdr:col>
      <xdr:colOff>3695700</xdr:colOff>
      <xdr:row>14</xdr:row>
      <xdr:rowOff>3521075</xdr:rowOff>
    </xdr:to>
    <xdr:pic>
      <xdr:nvPicPr>
        <xdr:cNvPr id="7" name="Picture 6">
          <a:extLst>
            <a:ext uri="{FF2B5EF4-FFF2-40B4-BE49-F238E27FC236}">
              <a16:creationId xmlns:a16="http://schemas.microsoft.com/office/drawing/2014/main" id="{E879FBDA-FC32-1600-1EA7-253E00377FA0}"/>
            </a:ext>
          </a:extLst>
        </xdr:cNvPr>
        <xdr:cNvPicPr>
          <a:picLocks noChangeAspect="1"/>
        </xdr:cNvPicPr>
      </xdr:nvPicPr>
      <xdr:blipFill>
        <a:blip xmlns:r="http://schemas.openxmlformats.org/officeDocument/2006/relationships" r:embed="rId4"/>
        <a:stretch>
          <a:fillRect/>
        </a:stretch>
      </xdr:blipFill>
      <xdr:spPr>
        <a:xfrm>
          <a:off x="4048125" y="15192375"/>
          <a:ext cx="3632200" cy="3568700"/>
        </a:xfrm>
        <a:prstGeom prst="rect">
          <a:avLst/>
        </a:prstGeom>
      </xdr:spPr>
    </xdr:pic>
    <xdr:clientData/>
  </xdr:twoCellAnchor>
  <xdr:oneCellAnchor>
    <xdr:from>
      <xdr:col>3</xdr:col>
      <xdr:colOff>0</xdr:colOff>
      <xdr:row>8</xdr:row>
      <xdr:rowOff>0</xdr:rowOff>
    </xdr:from>
    <xdr:ext cx="2651125" cy="3532624"/>
    <xdr:pic>
      <xdr:nvPicPr>
        <xdr:cNvPr id="8" name="Picture 7">
          <a:extLst>
            <a:ext uri="{FF2B5EF4-FFF2-40B4-BE49-F238E27FC236}">
              <a16:creationId xmlns:a16="http://schemas.microsoft.com/office/drawing/2014/main" id="{ECD266E1-C0B2-FA4F-BB79-624BF87453F8}"/>
            </a:ext>
          </a:extLst>
        </xdr:cNvPr>
        <xdr:cNvPicPr>
          <a:picLocks noChangeAspect="1"/>
        </xdr:cNvPicPr>
      </xdr:nvPicPr>
      <xdr:blipFill>
        <a:blip xmlns:r="http://schemas.openxmlformats.org/officeDocument/2006/relationships" r:embed="rId5" cstate="print"/>
        <a:stretch>
          <a:fillRect/>
        </a:stretch>
      </xdr:blipFill>
      <xdr:spPr>
        <a:xfrm>
          <a:off x="3984625" y="2476500"/>
          <a:ext cx="2651125" cy="3532624"/>
        </a:xfrm>
        <a:prstGeom prst="rect">
          <a:avLst/>
        </a:prstGeom>
      </xdr:spPr>
    </xdr:pic>
    <xdr:clientData/>
  </xdr:oneCellAnchor>
  <xdr:oneCellAnchor>
    <xdr:from>
      <xdr:col>3</xdr:col>
      <xdr:colOff>0</xdr:colOff>
      <xdr:row>16</xdr:row>
      <xdr:rowOff>0</xdr:rowOff>
    </xdr:from>
    <xdr:ext cx="2651125" cy="3532624"/>
    <xdr:pic>
      <xdr:nvPicPr>
        <xdr:cNvPr id="9" name="Picture 8">
          <a:extLst>
            <a:ext uri="{FF2B5EF4-FFF2-40B4-BE49-F238E27FC236}">
              <a16:creationId xmlns:a16="http://schemas.microsoft.com/office/drawing/2014/main" id="{B327608E-274E-C24E-80CB-67641B9DD2F9}"/>
            </a:ext>
          </a:extLst>
        </xdr:cNvPr>
        <xdr:cNvPicPr>
          <a:picLocks noChangeAspect="1"/>
        </xdr:cNvPicPr>
      </xdr:nvPicPr>
      <xdr:blipFill>
        <a:blip xmlns:r="http://schemas.openxmlformats.org/officeDocument/2006/relationships" r:embed="rId5" cstate="print"/>
        <a:stretch>
          <a:fillRect/>
        </a:stretch>
      </xdr:blipFill>
      <xdr:spPr>
        <a:xfrm>
          <a:off x="3984625" y="19494500"/>
          <a:ext cx="2651125" cy="353262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889793</xdr:colOff>
      <xdr:row>33</xdr:row>
      <xdr:rowOff>83344</xdr:rowOff>
    </xdr:from>
    <xdr:to>
      <xdr:col>5</xdr:col>
      <xdr:colOff>35718</xdr:colOff>
      <xdr:row>49</xdr:row>
      <xdr:rowOff>154781</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pcr-fs-02\Development\Users\sja\Downloads\Biodiversity%20Metric%202.0%20Calculation%20Tool%20Beta%20Test%20-%20December%202019%20Update%2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4 Temporal multipliers"/>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7" displayName="Table7" ref="M1:M4" totalsRowShown="0">
  <autoFilter ref="M1:M4" xr:uid="{00000000-0009-0000-0100-000001000000}"/>
  <tableColumns count="1">
    <tableColumn id="1" xr3:uid="{00000000-0010-0000-0000-000001000000}" name="Lakes"/>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4" displayName="Table4" ref="G1:G10" totalsRowShown="0">
  <autoFilter ref="G1:G10" xr:uid="{00000000-0009-0000-0100-00000A000000}"/>
  <tableColumns count="1">
    <tableColumn id="1" xr3:uid="{00000000-0010-0000-0900-000001000000}" name="Heathlandandshrub"/>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15" displayName="Table15" ref="AA1:AA2" totalsRowShown="0">
  <autoFilter ref="AA1:AA2" xr:uid="{00000000-0009-0000-0100-00000B000000}"/>
  <tableColumns count="1">
    <tableColumn id="1" xr3:uid="{00000000-0010-0000-0A00-000001000000}" name="Coastalsaltmarsh" dataDxfId="200"/>
  </tableColumns>
  <tableStyleInfo name="TableStyleLight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9" displayName="Table9" ref="Q1:Q21" totalsRowShown="0">
  <autoFilter ref="Q1:Q21" xr:uid="{00000000-0009-0000-0100-00000C000000}"/>
  <tableColumns count="1">
    <tableColumn id="1" xr3:uid="{00000000-0010-0000-0B00-000001000000}" name="Urban"/>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3" displayName="Table3" ref="E1:E6" totalsRowShown="0">
  <autoFilter ref="E1:E6" xr:uid="{00000000-0009-0000-0100-00000D000000}"/>
  <tableColumns count="1">
    <tableColumn id="1" xr3:uid="{00000000-0010-0000-0C00-000001000000}" name="Grassland"/>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8" displayName="Table8" ref="O1:O4" totalsRowShown="0">
  <autoFilter ref="O1:O4" xr:uid="{00000000-0009-0000-0100-00000E000000}"/>
  <tableColumns count="1">
    <tableColumn id="1" xr3:uid="{00000000-0010-0000-0D00-000001000000}" name="Sparselyvegetatedland"/>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13" displayName="Table13" ref="Y1:Y11" totalsRowShown="0">
  <autoFilter ref="Y1:Y11" xr:uid="{00000000-0009-0000-0100-00000F000000}"/>
  <tableColumns count="1">
    <tableColumn id="1" xr3:uid="{00000000-0010-0000-0E00-000001000000}" name="Watercourses"/>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2" displayName="Table12" ref="W1:W5" totalsRowShown="0">
  <autoFilter ref="W1:W5" xr:uid="{00000000-0009-0000-0100-000002000000}"/>
  <tableColumns count="1">
    <tableColumn id="1" xr3:uid="{00000000-0010-0000-0100-000001000000}" name="Lineoftrees" dataDxfId="204"/>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2" displayName="Table2" ref="C1:C11" totalsRowShown="0">
  <autoFilter ref="C1:C11" xr:uid="{00000000-0009-0000-0100-000003000000}"/>
  <tableColumns count="1">
    <tableColumn id="1" xr3:uid="{00000000-0010-0000-0200-000001000000}" name="Cropland" dataDxfId="203"/>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6" displayName="Table6" ref="K1:K10" totalsRowShown="0">
  <autoFilter ref="K1:K10" xr:uid="{00000000-0009-0000-0100-000004000000}"/>
  <tableColumns count="1">
    <tableColumn id="1" xr3:uid="{00000000-0010-0000-0300-000001000000}" name="Intertidalsediment"/>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11" displayName="Table11" ref="U1:U10" totalsRowShown="0">
  <autoFilter ref="U1:U10" xr:uid="{00000000-0009-0000-0100-000005000000}"/>
  <tableColumns count="1">
    <tableColumn id="1" xr3:uid="{00000000-0010-0000-0400-000001000000}" name="HedgerowsandLinesoftrees"/>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1" displayName="Table1" ref="A1:A11" totalsRowShown="0">
  <autoFilter ref="A1:A11" xr:uid="{00000000-0009-0000-0100-000006000000}"/>
  <tableColumns count="1">
    <tableColumn id="1" xr3:uid="{00000000-0010-0000-0500-000001000000}" name="Broadhabitattype"/>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1515" displayName="Table1515" ref="AC1:AC3" totalsRowShown="0">
  <autoFilter ref="AC1:AC3" xr:uid="{00000000-0009-0000-0100-000007000000}"/>
  <tableColumns count="1">
    <tableColumn id="1" xr3:uid="{00000000-0010-0000-0600-000001000000}" name="Individualtrees"/>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5" displayName="Table5" ref="I1:I4" totalsRowShown="0">
  <autoFilter ref="I1:I4" xr:uid="{00000000-0009-0000-0100-000008000000}"/>
  <tableColumns count="1">
    <tableColumn id="1" xr3:uid="{00000000-0010-0000-0700-000001000000}" name="Intertidalhardstructures" dataDxfId="202"/>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10" displayName="Table10" ref="S1:S5" totalsRowShown="0">
  <autoFilter ref="S1:S5" xr:uid="{00000000-0009-0000-0100-000009000000}"/>
  <tableColumns count="1">
    <tableColumn id="1" xr3:uid="{00000000-0010-0000-0800-000001000000}" name="Woodlandandforest" dataDxfId="201"/>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1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2E2A-BF3A-4C36-9C2F-D7B562664B79}">
  <sheetPr codeName="Sheet5">
    <tabColor theme="0" tint="-0.249977111117893"/>
    <pageSetUpPr fitToPage="1"/>
  </sheetPr>
  <dimension ref="A1:AD94"/>
  <sheetViews>
    <sheetView showRowColHeaders="0" topLeftCell="A10" zoomScale="80" zoomScaleNormal="80" workbookViewId="0">
      <selection activeCell="H35" sqref="H35"/>
    </sheetView>
  </sheetViews>
  <sheetFormatPr defaultColWidth="0" defaultRowHeight="14.4" zeroHeight="1" x14ac:dyDescent="0.3"/>
  <cols>
    <col min="1" max="1" width="3.44140625" customWidth="1"/>
    <col min="2" max="6" width="8.77734375" customWidth="1"/>
    <col min="7" max="7" width="11.6640625" customWidth="1"/>
    <col min="8" max="8" width="8.77734375" customWidth="1"/>
    <col min="9" max="9" width="12.77734375" customWidth="1"/>
    <col min="10" max="10" width="14.6640625" customWidth="1"/>
    <col min="11" max="18" width="8.77734375" customWidth="1"/>
    <col min="19" max="19" width="3.6640625" customWidth="1"/>
    <col min="20" max="20" width="8.77734375" hidden="1" customWidth="1"/>
    <col min="21" max="16384" width="8.77734375" hidden="1"/>
  </cols>
  <sheetData>
    <row r="1" spans="1:30" x14ac:dyDescent="0.3">
      <c r="A1" s="97"/>
      <c r="B1" s="97"/>
      <c r="C1" s="97"/>
      <c r="D1" s="603"/>
      <c r="E1" s="603"/>
      <c r="F1" s="603"/>
      <c r="G1" s="603"/>
      <c r="H1" s="603"/>
      <c r="I1" s="603"/>
      <c r="J1" s="603"/>
      <c r="K1" s="97"/>
      <c r="L1" s="97"/>
      <c r="M1" s="97"/>
      <c r="N1" s="97"/>
      <c r="O1" s="97"/>
      <c r="P1" s="97"/>
      <c r="Q1" s="97"/>
      <c r="R1" s="97"/>
      <c r="S1" s="97"/>
      <c r="T1" s="97"/>
      <c r="U1" s="97"/>
      <c r="V1" s="97"/>
      <c r="W1" s="97"/>
      <c r="X1" s="97"/>
      <c r="Y1" s="97"/>
      <c r="Z1" s="97"/>
      <c r="AA1" s="97"/>
      <c r="AB1" s="97"/>
      <c r="AC1" s="97"/>
      <c r="AD1" s="97"/>
    </row>
    <row r="2" spans="1:30" x14ac:dyDescent="0.3">
      <c r="A2" s="97"/>
      <c r="B2" s="97"/>
      <c r="C2" s="97"/>
      <c r="D2" s="603"/>
      <c r="E2" s="603"/>
      <c r="F2" s="603"/>
      <c r="G2" s="603"/>
      <c r="H2" s="603"/>
      <c r="I2" s="603"/>
      <c r="J2" s="603"/>
      <c r="K2" s="97"/>
      <c r="L2" s="97"/>
      <c r="M2" s="97"/>
      <c r="N2" s="97"/>
      <c r="O2" s="97"/>
      <c r="P2" s="97"/>
      <c r="Q2" s="97"/>
      <c r="R2" s="97"/>
      <c r="S2" s="97"/>
      <c r="T2" s="97"/>
      <c r="U2" s="97"/>
      <c r="V2" s="97"/>
      <c r="W2" s="97"/>
      <c r="X2" s="97"/>
      <c r="Y2" s="97"/>
      <c r="Z2" s="97"/>
      <c r="AA2" s="97"/>
      <c r="AB2" s="97"/>
      <c r="AC2" s="97"/>
      <c r="AD2" s="97"/>
    </row>
    <row r="3" spans="1:30" x14ac:dyDescent="0.3">
      <c r="A3" s="97"/>
      <c r="B3" s="97"/>
      <c r="C3" s="97"/>
      <c r="D3" s="603"/>
      <c r="E3" s="603"/>
      <c r="F3" s="603"/>
      <c r="G3" s="603"/>
      <c r="H3" s="603"/>
      <c r="I3" s="603"/>
      <c r="J3" s="603"/>
      <c r="K3" s="97"/>
      <c r="L3" s="97"/>
      <c r="M3" s="97"/>
      <c r="N3" s="97"/>
      <c r="O3" s="97"/>
      <c r="P3" s="97"/>
      <c r="Q3" s="97"/>
      <c r="R3" s="97"/>
      <c r="S3" s="97"/>
      <c r="T3" s="97"/>
      <c r="U3" s="97"/>
      <c r="V3" s="97"/>
      <c r="W3" s="97"/>
      <c r="X3" s="97"/>
      <c r="Y3" s="97"/>
      <c r="Z3" s="97"/>
      <c r="AA3" s="97"/>
      <c r="AB3" s="97"/>
      <c r="AC3" s="97"/>
      <c r="AD3" s="97"/>
    </row>
    <row r="4" spans="1:30" x14ac:dyDescent="0.3">
      <c r="A4" s="97"/>
      <c r="B4" s="97"/>
      <c r="C4" s="97"/>
      <c r="D4" s="603"/>
      <c r="E4" s="603"/>
      <c r="F4" s="603"/>
      <c r="G4" s="603"/>
      <c r="H4" s="603"/>
      <c r="I4" s="603"/>
      <c r="J4" s="603"/>
      <c r="K4" s="97"/>
      <c r="L4" s="97"/>
      <c r="M4" s="97"/>
      <c r="N4" s="97"/>
      <c r="O4" s="97"/>
      <c r="P4" s="97"/>
      <c r="Q4" s="97"/>
      <c r="R4" s="97"/>
      <c r="S4" s="97"/>
      <c r="T4" s="97"/>
      <c r="U4" s="97"/>
      <c r="V4" s="97"/>
      <c r="W4" s="97"/>
      <c r="X4" s="97"/>
      <c r="Y4" s="97"/>
      <c r="Z4" s="97"/>
      <c r="AA4" s="97"/>
      <c r="AB4" s="97"/>
      <c r="AC4" s="97"/>
      <c r="AD4" s="97"/>
    </row>
    <row r="5" spans="1:30" x14ac:dyDescent="0.3">
      <c r="A5" s="97"/>
      <c r="B5" s="97"/>
      <c r="C5" s="97"/>
      <c r="D5" s="603"/>
      <c r="E5" s="603"/>
      <c r="F5" s="603"/>
      <c r="G5" s="603"/>
      <c r="H5" s="603"/>
      <c r="I5" s="603"/>
      <c r="J5" s="603"/>
      <c r="K5" s="97"/>
      <c r="L5" s="97"/>
      <c r="M5" s="97"/>
      <c r="N5" s="97"/>
      <c r="O5" s="97"/>
      <c r="P5" s="97"/>
      <c r="Q5" s="97"/>
      <c r="R5" s="97"/>
      <c r="S5" s="97"/>
      <c r="T5" s="97"/>
      <c r="U5" s="97"/>
      <c r="V5" s="97"/>
      <c r="W5" s="97"/>
      <c r="X5" s="97"/>
      <c r="Y5" s="97"/>
      <c r="Z5" s="97"/>
      <c r="AA5" s="97"/>
      <c r="AB5" s="97"/>
      <c r="AC5" s="97"/>
      <c r="AD5" s="97"/>
    </row>
    <row r="6" spans="1:30" x14ac:dyDescent="0.3">
      <c r="A6" s="200" t="s">
        <v>0</v>
      </c>
      <c r="B6" s="604" t="s">
        <v>1</v>
      </c>
      <c r="C6" s="605"/>
      <c r="D6" s="605"/>
      <c r="E6" s="605"/>
      <c r="F6" s="605"/>
      <c r="G6" s="605"/>
      <c r="H6" s="605"/>
      <c r="I6" s="605"/>
      <c r="J6" s="605"/>
      <c r="K6" s="97"/>
      <c r="L6" s="97"/>
      <c r="M6" s="97"/>
      <c r="N6" s="97"/>
      <c r="O6" s="97"/>
      <c r="P6" s="97"/>
      <c r="Q6" s="97"/>
      <c r="R6" s="97"/>
      <c r="S6" s="97"/>
      <c r="T6" s="97"/>
      <c r="U6" s="97"/>
      <c r="V6" s="97"/>
      <c r="W6" s="97"/>
      <c r="X6" s="97"/>
      <c r="Y6" s="97"/>
      <c r="Z6" s="97"/>
      <c r="AA6" s="97"/>
      <c r="AB6" s="97"/>
      <c r="AC6" s="97"/>
      <c r="AD6" s="97"/>
    </row>
    <row r="7" spans="1:30" x14ac:dyDescent="0.3">
      <c r="A7" s="97"/>
      <c r="B7" s="605"/>
      <c r="C7" s="605"/>
      <c r="D7" s="605"/>
      <c r="E7" s="605"/>
      <c r="F7" s="605"/>
      <c r="G7" s="605"/>
      <c r="H7" s="605"/>
      <c r="I7" s="605"/>
      <c r="J7" s="605"/>
      <c r="K7" s="97"/>
      <c r="L7" s="97"/>
      <c r="M7" s="97"/>
      <c r="N7" s="97"/>
      <c r="O7" s="97"/>
      <c r="P7" s="97"/>
      <c r="Q7" s="97"/>
      <c r="R7" s="97"/>
      <c r="S7" s="97"/>
      <c r="T7" s="97"/>
      <c r="U7" s="97"/>
      <c r="V7" s="97"/>
      <c r="W7" s="97"/>
      <c r="X7" s="97"/>
      <c r="Y7" s="97"/>
      <c r="Z7" s="97"/>
      <c r="AA7" s="97"/>
      <c r="AB7" s="97"/>
      <c r="AC7" s="97"/>
      <c r="AD7" s="97"/>
    </row>
    <row r="8" spans="1:30" ht="28.5" customHeight="1" x14ac:dyDescent="0.3">
      <c r="A8" s="97"/>
      <c r="B8" s="605"/>
      <c r="C8" s="605"/>
      <c r="D8" s="605"/>
      <c r="E8" s="605"/>
      <c r="F8" s="605"/>
      <c r="G8" s="605"/>
      <c r="H8" s="605"/>
      <c r="I8" s="605"/>
      <c r="J8" s="605"/>
      <c r="K8" s="97"/>
      <c r="L8" s="97"/>
      <c r="M8" s="97"/>
      <c r="N8" s="97"/>
      <c r="O8" s="97"/>
      <c r="P8" s="97"/>
      <c r="Q8" s="97"/>
      <c r="R8" s="97"/>
      <c r="S8" s="97"/>
      <c r="T8" s="97"/>
      <c r="U8" s="97"/>
      <c r="V8" s="97"/>
      <c r="W8" s="97"/>
      <c r="X8" s="97"/>
      <c r="Y8" s="97"/>
      <c r="Z8" s="97"/>
      <c r="AA8" s="97"/>
      <c r="AB8" s="97"/>
      <c r="AC8" s="97"/>
      <c r="AD8" s="97"/>
    </row>
    <row r="9" spans="1:30" ht="14.55" customHeight="1" x14ac:dyDescent="0.3">
      <c r="A9" s="97"/>
      <c r="B9" s="606"/>
      <c r="C9" s="606"/>
      <c r="D9" s="606"/>
      <c r="E9" s="606"/>
      <c r="F9" s="606"/>
      <c r="G9" s="606"/>
      <c r="H9" s="606"/>
      <c r="I9" s="606"/>
      <c r="J9" s="606"/>
      <c r="K9" s="97"/>
      <c r="L9" s="97"/>
      <c r="M9" s="97"/>
      <c r="N9" s="97"/>
      <c r="O9" s="97"/>
      <c r="P9" s="97"/>
      <c r="Q9" s="97"/>
      <c r="R9" s="97"/>
      <c r="S9" s="97"/>
      <c r="T9" s="97"/>
      <c r="U9" s="97"/>
      <c r="V9" s="97"/>
      <c r="W9" s="97"/>
      <c r="X9" s="97"/>
      <c r="Y9" s="97"/>
      <c r="Z9" s="97"/>
      <c r="AA9" s="97"/>
      <c r="AB9" s="97"/>
      <c r="AC9" s="97"/>
      <c r="AD9" s="97"/>
    </row>
    <row r="10" spans="1:30" ht="20.55" customHeight="1" x14ac:dyDescent="0.3">
      <c r="A10" s="97"/>
      <c r="B10" s="606"/>
      <c r="C10" s="606"/>
      <c r="D10" s="606"/>
      <c r="E10" s="606"/>
      <c r="F10" s="606"/>
      <c r="G10" s="606"/>
      <c r="H10" s="606"/>
      <c r="I10" s="606"/>
      <c r="J10" s="606"/>
      <c r="K10" s="97"/>
      <c r="L10" s="97"/>
      <c r="M10" s="97"/>
      <c r="N10" s="97"/>
      <c r="O10" s="97"/>
      <c r="P10" s="97"/>
      <c r="Q10" s="97"/>
      <c r="R10" s="97"/>
      <c r="S10" s="97"/>
      <c r="T10" s="97"/>
      <c r="U10" s="97"/>
      <c r="V10" s="97"/>
      <c r="W10" s="97"/>
      <c r="X10" s="97"/>
      <c r="Y10" s="97"/>
      <c r="Z10" s="97"/>
      <c r="AA10" s="97"/>
      <c r="AB10" s="97"/>
      <c r="AC10" s="97"/>
      <c r="AD10" s="97"/>
    </row>
    <row r="11" spans="1:30" x14ac:dyDescent="0.3">
      <c r="A11" s="97"/>
      <c r="B11" s="607" t="s">
        <v>2</v>
      </c>
      <c r="C11" s="607"/>
      <c r="D11" s="607"/>
      <c r="E11" s="607"/>
      <c r="F11" s="608" t="s">
        <v>3</v>
      </c>
      <c r="G11" s="608"/>
      <c r="H11" s="608"/>
      <c r="I11" s="608"/>
      <c r="J11" s="608"/>
      <c r="K11" s="97"/>
      <c r="L11" s="97"/>
      <c r="M11" s="97"/>
      <c r="N11" s="97"/>
      <c r="O11" s="97"/>
      <c r="P11" s="97"/>
      <c r="Q11" s="97"/>
      <c r="R11" s="97"/>
      <c r="S11" s="97"/>
      <c r="T11" s="97"/>
      <c r="U11" s="97"/>
      <c r="V11" s="97"/>
      <c r="W11" s="97"/>
      <c r="X11" s="97"/>
      <c r="Y11" s="97"/>
      <c r="Z11" s="97"/>
      <c r="AA11" s="97"/>
      <c r="AB11" s="97"/>
      <c r="AC11" s="97"/>
      <c r="AD11" s="97"/>
    </row>
    <row r="12" spans="1:30" x14ac:dyDescent="0.3">
      <c r="A12" s="97"/>
      <c r="B12" s="592"/>
      <c r="C12" s="592"/>
      <c r="D12" s="592"/>
      <c r="E12" s="592"/>
      <c r="F12" s="592"/>
      <c r="G12" s="592"/>
      <c r="H12" s="592"/>
      <c r="I12" s="592"/>
      <c r="J12" s="592"/>
      <c r="K12" s="97"/>
      <c r="L12" s="97"/>
      <c r="M12" s="97"/>
      <c r="N12" s="97"/>
      <c r="O12" s="97"/>
      <c r="P12" s="97"/>
      <c r="Q12" s="97"/>
      <c r="R12" s="97"/>
      <c r="S12" s="97"/>
      <c r="T12" s="97"/>
      <c r="U12" s="97"/>
      <c r="V12" s="97"/>
      <c r="W12" s="97"/>
      <c r="X12" s="97"/>
      <c r="Y12" s="97"/>
      <c r="Z12" s="97"/>
      <c r="AA12" s="97"/>
      <c r="AB12" s="97"/>
      <c r="AC12" s="97"/>
      <c r="AD12" s="97"/>
    </row>
    <row r="13" spans="1:30" x14ac:dyDescent="0.3">
      <c r="A13" s="97"/>
      <c r="B13" s="97"/>
      <c r="C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row>
    <row r="14" spans="1:30" ht="14.55" customHeight="1" x14ac:dyDescent="0.3">
      <c r="A14" s="97"/>
      <c r="B14" s="593"/>
      <c r="C14" s="594"/>
      <c r="D14" s="594"/>
      <c r="E14" s="594"/>
      <c r="F14" s="594"/>
      <c r="G14" s="594"/>
      <c r="H14" s="594"/>
      <c r="I14" s="594"/>
      <c r="J14" s="594"/>
      <c r="K14" s="97"/>
      <c r="L14" s="97"/>
      <c r="M14" s="97"/>
      <c r="N14" s="97"/>
      <c r="O14" s="97"/>
      <c r="P14" s="97"/>
      <c r="Q14" s="97"/>
      <c r="R14" s="97"/>
      <c r="S14" s="97"/>
      <c r="T14" s="97"/>
      <c r="U14" s="97"/>
      <c r="V14" s="97"/>
      <c r="W14" s="97"/>
      <c r="X14" s="97"/>
      <c r="Y14" s="97"/>
      <c r="Z14" s="97"/>
      <c r="AA14" s="97"/>
      <c r="AB14" s="97"/>
      <c r="AC14" s="97"/>
      <c r="AD14" s="97"/>
    </row>
    <row r="15" spans="1:30" ht="81" customHeight="1" x14ac:dyDescent="0.3">
      <c r="A15" s="97"/>
      <c r="B15" s="593"/>
      <c r="C15" s="594"/>
      <c r="D15" s="594"/>
      <c r="E15" s="594"/>
      <c r="F15" s="594"/>
      <c r="G15" s="594"/>
      <c r="H15" s="594"/>
      <c r="I15" s="594"/>
      <c r="J15" s="594"/>
      <c r="K15" s="97"/>
      <c r="L15" s="97"/>
      <c r="M15" s="97"/>
      <c r="N15" s="97"/>
      <c r="O15" s="97"/>
      <c r="P15" s="97"/>
      <c r="Q15" s="97"/>
      <c r="R15" s="97"/>
      <c r="S15" s="97"/>
      <c r="T15" s="97"/>
      <c r="U15" s="97"/>
      <c r="V15" s="97"/>
      <c r="W15" s="97"/>
      <c r="X15" s="97"/>
      <c r="Y15" s="97"/>
      <c r="Z15" s="97"/>
      <c r="AA15" s="97"/>
      <c r="AB15" s="97"/>
      <c r="AC15" s="97"/>
      <c r="AD15" s="97"/>
    </row>
    <row r="16" spans="1:30" ht="21.75" customHeight="1" x14ac:dyDescent="0.3">
      <c r="A16" s="97"/>
      <c r="B16" s="109"/>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row>
    <row r="17" spans="1:30" ht="21" customHeight="1" x14ac:dyDescent="0.4">
      <c r="A17" s="97"/>
      <c r="B17" s="595" t="s">
        <v>4</v>
      </c>
      <c r="C17" s="595"/>
      <c r="D17" s="595"/>
      <c r="E17" s="595"/>
      <c r="F17" s="595"/>
      <c r="G17" s="595"/>
      <c r="H17" s="595"/>
      <c r="I17" s="97"/>
      <c r="J17" s="97"/>
      <c r="K17" s="97"/>
      <c r="L17" s="97"/>
      <c r="M17" s="97"/>
      <c r="N17" s="97"/>
      <c r="O17" s="97"/>
      <c r="P17" s="97"/>
      <c r="Q17" s="97"/>
      <c r="R17" s="97"/>
      <c r="S17" s="97"/>
      <c r="T17" s="97"/>
      <c r="U17" s="97"/>
      <c r="V17" s="97"/>
      <c r="W17" s="97"/>
      <c r="X17" s="97"/>
      <c r="Y17" s="97"/>
      <c r="Z17" s="97"/>
      <c r="AA17" s="97"/>
      <c r="AB17" s="97"/>
      <c r="AC17" s="97"/>
      <c r="AD17" s="97"/>
    </row>
    <row r="18" spans="1:30" ht="15" customHeight="1" x14ac:dyDescent="0.3">
      <c r="A18" s="97"/>
      <c r="B18" s="97"/>
      <c r="C18" s="97"/>
      <c r="D18" s="97"/>
      <c r="E18" s="97"/>
      <c r="F18" s="97"/>
      <c r="G18" s="97"/>
      <c r="H18" s="97"/>
      <c r="I18" s="97"/>
      <c r="J18" s="97"/>
      <c r="K18" s="97"/>
      <c r="L18" s="97"/>
      <c r="M18" s="97"/>
      <c r="N18" s="97"/>
      <c r="O18" s="97"/>
      <c r="P18" s="97"/>
      <c r="Q18" s="97"/>
      <c r="R18" s="97"/>
      <c r="S18" s="97"/>
      <c r="T18" s="97"/>
      <c r="U18" s="97"/>
      <c r="V18" s="97"/>
      <c r="W18" s="97"/>
      <c r="X18" s="97"/>
      <c r="Y18" s="97"/>
      <c r="Z18" s="97"/>
      <c r="AA18" s="97"/>
      <c r="AB18" s="97"/>
      <c r="AC18" s="97"/>
      <c r="AD18" s="97"/>
    </row>
    <row r="19" spans="1:30" ht="14.55" customHeight="1" x14ac:dyDescent="0.3">
      <c r="A19" s="97"/>
      <c r="B19" s="596"/>
      <c r="C19" s="597"/>
      <c r="D19" s="600" t="s">
        <v>5</v>
      </c>
      <c r="E19" s="601"/>
      <c r="F19" s="601"/>
      <c r="G19" s="601"/>
      <c r="H19" s="602"/>
      <c r="I19" s="97"/>
      <c r="J19" s="97"/>
      <c r="K19" s="97"/>
      <c r="L19" s="97"/>
      <c r="M19" s="97"/>
      <c r="N19" s="97"/>
      <c r="O19" s="97"/>
      <c r="P19" s="97"/>
      <c r="Q19" s="97"/>
      <c r="R19" s="97"/>
      <c r="S19" s="97"/>
      <c r="T19" s="97"/>
      <c r="U19" s="97"/>
      <c r="V19" s="97"/>
      <c r="W19" s="97"/>
      <c r="X19" s="97"/>
      <c r="Y19" s="97"/>
      <c r="Z19" s="97"/>
      <c r="AA19" s="97"/>
      <c r="AB19" s="97"/>
      <c r="AC19" s="97"/>
      <c r="AD19" s="97"/>
    </row>
    <row r="20" spans="1:30" ht="15" customHeight="1" x14ac:dyDescent="0.3">
      <c r="A20" s="97"/>
      <c r="B20" s="598"/>
      <c r="C20" s="599"/>
      <c r="D20" s="579"/>
      <c r="E20" s="580"/>
      <c r="F20" s="580"/>
      <c r="G20" s="580"/>
      <c r="H20" s="581"/>
      <c r="I20" s="97"/>
      <c r="J20" s="97"/>
      <c r="K20" s="97"/>
      <c r="L20" s="97"/>
      <c r="M20" s="97"/>
      <c r="N20" s="97"/>
      <c r="O20" s="97"/>
      <c r="P20" s="97"/>
      <c r="Q20" s="97"/>
      <c r="R20" s="97"/>
      <c r="S20" s="97"/>
      <c r="T20" s="97"/>
      <c r="U20" s="97"/>
      <c r="V20" s="97"/>
      <c r="W20" s="97"/>
      <c r="X20" s="97"/>
      <c r="Y20" s="97"/>
      <c r="Z20" s="97"/>
      <c r="AA20" s="97"/>
      <c r="AB20" s="97"/>
      <c r="AC20" s="97"/>
      <c r="AD20" s="97"/>
    </row>
    <row r="21" spans="1:30" ht="14.55" customHeight="1" x14ac:dyDescent="0.3">
      <c r="A21" s="97"/>
      <c r="B21" s="572"/>
      <c r="C21" s="573"/>
      <c r="D21" s="576" t="s">
        <v>6</v>
      </c>
      <c r="E21" s="577"/>
      <c r="F21" s="577"/>
      <c r="G21" s="577"/>
      <c r="H21" s="578"/>
      <c r="I21" s="97"/>
      <c r="J21" s="97"/>
      <c r="K21" s="97"/>
      <c r="L21" s="97"/>
      <c r="M21" s="97"/>
      <c r="N21" s="97"/>
      <c r="O21" s="97"/>
      <c r="P21" s="97"/>
      <c r="Q21" s="97"/>
      <c r="R21" s="97"/>
      <c r="S21" s="97"/>
      <c r="T21" s="97"/>
      <c r="U21" s="97"/>
      <c r="V21" s="97"/>
      <c r="W21" s="97"/>
      <c r="X21" s="97"/>
      <c r="Y21" s="97"/>
      <c r="Z21" s="97"/>
      <c r="AA21" s="97"/>
      <c r="AB21" s="97"/>
      <c r="AC21" s="97"/>
      <c r="AD21" s="97"/>
    </row>
    <row r="22" spans="1:30" ht="14.55" customHeight="1" x14ac:dyDescent="0.3">
      <c r="A22" s="97"/>
      <c r="B22" s="574"/>
      <c r="C22" s="575"/>
      <c r="D22" s="579"/>
      <c r="E22" s="580"/>
      <c r="F22" s="580"/>
      <c r="G22" s="580"/>
      <c r="H22" s="581"/>
      <c r="I22" s="97"/>
      <c r="J22" s="97"/>
      <c r="K22" s="97"/>
      <c r="L22" s="97"/>
      <c r="M22" s="97"/>
      <c r="N22" s="97"/>
      <c r="O22" s="97"/>
      <c r="P22" s="97"/>
      <c r="Q22" s="97"/>
      <c r="R22" s="97"/>
      <c r="S22" s="97"/>
      <c r="T22" s="97"/>
      <c r="U22" s="97"/>
      <c r="V22" s="97"/>
      <c r="W22" s="97"/>
      <c r="X22" s="97"/>
      <c r="Y22" s="97"/>
      <c r="Z22" s="97"/>
      <c r="AA22" s="97"/>
      <c r="AB22" s="97"/>
      <c r="AC22" s="97"/>
      <c r="AD22" s="97"/>
    </row>
    <row r="23" spans="1:30" ht="14.55" customHeight="1" x14ac:dyDescent="0.3">
      <c r="A23" s="97"/>
      <c r="B23" s="582"/>
      <c r="C23" s="583"/>
      <c r="D23" s="586" t="s">
        <v>7</v>
      </c>
      <c r="E23" s="587"/>
      <c r="F23" s="587"/>
      <c r="G23" s="587"/>
      <c r="H23" s="588"/>
      <c r="I23" s="97"/>
      <c r="J23" s="97"/>
      <c r="K23" s="97"/>
      <c r="L23" s="97"/>
      <c r="M23" s="97"/>
      <c r="N23" s="97"/>
      <c r="O23" s="97"/>
      <c r="P23" s="97"/>
      <c r="Q23" s="97"/>
      <c r="R23" s="97"/>
      <c r="S23" s="97"/>
      <c r="T23" s="97"/>
      <c r="U23" s="97"/>
      <c r="V23" s="97"/>
      <c r="W23" s="97"/>
      <c r="X23" s="97"/>
      <c r="Y23" s="97"/>
      <c r="Z23" s="97"/>
      <c r="AA23" s="97"/>
      <c r="AB23" s="97"/>
      <c r="AC23" s="97"/>
      <c r="AD23" s="97"/>
    </row>
    <row r="24" spans="1:30" ht="14.55" customHeight="1" x14ac:dyDescent="0.3">
      <c r="A24" s="97"/>
      <c r="B24" s="584"/>
      <c r="C24" s="585"/>
      <c r="D24" s="589"/>
      <c r="E24" s="590"/>
      <c r="F24" s="590"/>
      <c r="G24" s="590"/>
      <c r="H24" s="591"/>
      <c r="I24" s="97"/>
      <c r="J24" s="97"/>
      <c r="K24" s="97"/>
      <c r="L24" s="97"/>
      <c r="M24" s="97"/>
      <c r="N24" s="97"/>
      <c r="O24" s="97"/>
      <c r="P24" s="97"/>
      <c r="Q24" s="97"/>
      <c r="R24" s="97"/>
      <c r="S24" s="97"/>
      <c r="T24" s="97"/>
      <c r="U24" s="97"/>
      <c r="V24" s="97"/>
      <c r="W24" s="97"/>
      <c r="X24" s="97"/>
      <c r="Y24" s="97"/>
      <c r="Z24" s="97"/>
      <c r="AA24" s="97"/>
      <c r="AB24" s="97"/>
      <c r="AC24" s="97"/>
      <c r="AD24" s="97"/>
    </row>
    <row r="25" spans="1:30" ht="28.05" customHeight="1" x14ac:dyDescent="0.3">
      <c r="A25" s="97"/>
      <c r="B25" s="390"/>
      <c r="C25" s="391"/>
      <c r="D25" s="563" t="s">
        <v>8</v>
      </c>
      <c r="E25" s="564"/>
      <c r="F25" s="564"/>
      <c r="G25" s="564"/>
      <c r="H25" s="565"/>
      <c r="I25" s="97"/>
      <c r="J25" s="97"/>
      <c r="K25" s="97"/>
      <c r="L25" s="97"/>
      <c r="M25" s="97"/>
      <c r="N25" s="97"/>
      <c r="O25" s="97"/>
      <c r="P25" s="97"/>
      <c r="Q25" s="97"/>
      <c r="R25" s="97"/>
      <c r="S25" s="97"/>
      <c r="T25" s="97"/>
      <c r="U25" s="97"/>
      <c r="V25" s="97"/>
      <c r="W25" s="97"/>
      <c r="X25" s="97"/>
      <c r="Y25" s="97"/>
      <c r="Z25" s="97"/>
      <c r="AA25" s="97"/>
      <c r="AB25" s="97"/>
      <c r="AC25" s="97"/>
      <c r="AD25" s="97"/>
    </row>
    <row r="26" spans="1:30" ht="32.25" customHeight="1" x14ac:dyDescent="0.3">
      <c r="A26" s="97"/>
      <c r="B26" s="392"/>
      <c r="C26" s="393"/>
      <c r="D26" s="563" t="s">
        <v>9</v>
      </c>
      <c r="E26" s="564"/>
      <c r="F26" s="564"/>
      <c r="G26" s="564"/>
      <c r="H26" s="565"/>
      <c r="I26" s="97"/>
      <c r="J26" s="97"/>
      <c r="K26" s="97"/>
      <c r="L26" s="97"/>
      <c r="M26" s="97"/>
      <c r="N26" s="97"/>
      <c r="O26" s="97"/>
      <c r="P26" s="97"/>
      <c r="Q26" s="97"/>
      <c r="R26" s="97"/>
      <c r="S26" s="97"/>
      <c r="T26" s="97"/>
      <c r="U26" s="97"/>
      <c r="V26" s="97"/>
      <c r="W26" s="97"/>
      <c r="X26" s="97"/>
      <c r="Y26" s="97"/>
      <c r="Z26" s="97"/>
      <c r="AA26" s="97"/>
      <c r="AB26" s="97"/>
      <c r="AC26" s="97"/>
      <c r="AD26" s="97"/>
    </row>
    <row r="27" spans="1:30" ht="27" customHeight="1" x14ac:dyDescent="0.3">
      <c r="A27" s="97"/>
      <c r="B27" s="566" t="s">
        <v>10</v>
      </c>
      <c r="C27" s="567"/>
      <c r="D27" s="563" t="s">
        <v>11</v>
      </c>
      <c r="E27" s="564"/>
      <c r="F27" s="564"/>
      <c r="G27" s="564"/>
      <c r="H27" s="565"/>
      <c r="I27" s="97"/>
      <c r="J27" s="97"/>
      <c r="K27" s="97"/>
      <c r="L27" s="97"/>
      <c r="M27" s="97"/>
      <c r="N27" s="97"/>
      <c r="O27" s="97"/>
      <c r="P27" s="97"/>
      <c r="Q27" s="97"/>
      <c r="R27" s="97"/>
      <c r="S27" s="97"/>
      <c r="T27" s="97"/>
      <c r="U27" s="97"/>
      <c r="V27" s="97"/>
      <c r="W27" s="97"/>
      <c r="X27" s="97"/>
      <c r="Y27" s="97"/>
      <c r="Z27" s="97"/>
      <c r="AA27" s="97"/>
      <c r="AB27" s="97"/>
      <c r="AC27" s="97"/>
      <c r="AD27" s="97"/>
    </row>
    <row r="28" spans="1:30" ht="24" customHeight="1" x14ac:dyDescent="0.3">
      <c r="A28" s="97"/>
      <c r="B28" s="568" t="s">
        <v>12</v>
      </c>
      <c r="C28" s="569"/>
      <c r="D28" s="570" t="s">
        <v>13</v>
      </c>
      <c r="E28" s="570"/>
      <c r="F28" s="570"/>
      <c r="G28" s="570"/>
      <c r="H28" s="571"/>
      <c r="I28" s="97"/>
      <c r="J28" s="558" t="s">
        <v>14</v>
      </c>
      <c r="K28" s="558"/>
      <c r="L28" s="558"/>
      <c r="M28" s="558"/>
      <c r="N28" s="558"/>
      <c r="O28" s="558"/>
      <c r="P28" s="558"/>
      <c r="Q28" s="558"/>
      <c r="R28" s="558"/>
      <c r="S28" s="97"/>
      <c r="T28" s="97"/>
      <c r="U28" s="97"/>
      <c r="V28" s="97"/>
      <c r="W28" s="97"/>
      <c r="X28" s="97"/>
      <c r="Y28" s="97"/>
      <c r="Z28" s="97"/>
      <c r="AA28" s="97"/>
      <c r="AB28" s="97"/>
      <c r="AC28" s="97"/>
      <c r="AD28" s="97"/>
    </row>
    <row r="29" spans="1:30" ht="24" customHeight="1" x14ac:dyDescent="0.3">
      <c r="A29" s="97"/>
      <c r="B29" s="559"/>
      <c r="C29" s="560"/>
      <c r="D29" s="561" t="s">
        <v>15</v>
      </c>
      <c r="E29" s="561"/>
      <c r="F29" s="561"/>
      <c r="G29" s="561"/>
      <c r="H29" s="562"/>
      <c r="I29" s="97"/>
      <c r="J29" s="97"/>
      <c r="K29" s="97"/>
      <c r="L29" s="97"/>
      <c r="M29" s="97"/>
      <c r="N29" s="97"/>
      <c r="O29" s="97"/>
      <c r="P29" s="97"/>
      <c r="Q29" s="97"/>
      <c r="R29" s="97"/>
      <c r="S29" s="97"/>
      <c r="T29" s="97"/>
      <c r="U29" s="97"/>
      <c r="V29" s="97"/>
      <c r="W29" s="97"/>
      <c r="X29" s="97"/>
      <c r="Y29" s="97"/>
      <c r="Z29" s="97"/>
      <c r="AA29" s="97"/>
      <c r="AB29" s="97"/>
      <c r="AC29" s="97"/>
      <c r="AD29" s="97"/>
    </row>
    <row r="30" spans="1:30" ht="27.75" customHeight="1" x14ac:dyDescent="0.3">
      <c r="A30" s="97"/>
      <c r="B30" s="97"/>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row>
    <row r="31" spans="1:30" ht="21.75" customHeight="1" x14ac:dyDescent="0.3">
      <c r="A31" s="97"/>
      <c r="B31" s="97"/>
      <c r="C31" s="97"/>
      <c r="D31" s="97"/>
      <c r="E31" s="97"/>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row>
    <row r="32" spans="1:30" x14ac:dyDescent="0.3">
      <c r="A32" s="97"/>
      <c r="B32" s="97"/>
      <c r="C32" s="97"/>
      <c r="D32" s="97"/>
      <c r="E32" s="97"/>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row>
    <row r="33" spans="1:30" ht="15.75" customHeight="1" x14ac:dyDescent="0.3">
      <c r="A33" s="97"/>
      <c r="B33" s="97"/>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row>
    <row r="34" spans="1:30" x14ac:dyDescent="0.3">
      <c r="A34" s="97"/>
      <c r="B34" s="97"/>
      <c r="C34" s="97"/>
      <c r="D34" s="97"/>
      <c r="E34" s="97"/>
      <c r="F34" s="97"/>
      <c r="G34" s="97"/>
      <c r="H34" s="97"/>
      <c r="I34" s="97"/>
      <c r="J34" s="97"/>
      <c r="K34" s="97"/>
      <c r="L34" s="97"/>
      <c r="M34" s="97"/>
      <c r="N34" s="97"/>
      <c r="O34" s="97"/>
      <c r="P34" s="97"/>
      <c r="Q34" s="97"/>
      <c r="R34" s="97"/>
      <c r="S34" s="97"/>
      <c r="T34" s="97"/>
      <c r="U34" s="97"/>
      <c r="V34" s="97"/>
      <c r="W34" s="97"/>
      <c r="X34" s="97"/>
      <c r="Y34" s="97"/>
      <c r="Z34" s="97"/>
      <c r="AA34" s="97"/>
      <c r="AB34" s="97"/>
      <c r="AC34" s="97"/>
      <c r="AD34" s="97"/>
    </row>
    <row r="35" spans="1:30" ht="15.75" customHeight="1" x14ac:dyDescent="0.3">
      <c r="A35" s="97"/>
      <c r="B35" s="97"/>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row>
    <row r="36" spans="1:30" x14ac:dyDescent="0.3">
      <c r="A36" s="97"/>
      <c r="B36" s="97"/>
      <c r="C36" s="97"/>
      <c r="D36" s="97"/>
      <c r="E36" s="97"/>
      <c r="F36" s="97"/>
      <c r="G36" s="97"/>
      <c r="H36" s="97"/>
      <c r="I36" s="97"/>
      <c r="J36" s="97"/>
      <c r="K36" s="97"/>
      <c r="L36" s="97"/>
      <c r="M36" s="97"/>
      <c r="N36" s="97"/>
      <c r="O36" s="97"/>
      <c r="P36" s="97"/>
      <c r="Q36" s="97"/>
      <c r="R36" s="97"/>
      <c r="S36" s="97"/>
      <c r="T36" s="97"/>
      <c r="U36" s="97"/>
      <c r="V36" s="97"/>
      <c r="W36" s="97"/>
      <c r="X36" s="97"/>
      <c r="Y36" s="97"/>
      <c r="Z36" s="97"/>
      <c r="AA36" s="97"/>
      <c r="AB36" s="97"/>
      <c r="AC36" s="97"/>
      <c r="AD36" s="97"/>
    </row>
    <row r="37" spans="1:30" hidden="1" x14ac:dyDescent="0.3">
      <c r="A37" s="97"/>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row>
    <row r="38" spans="1:30" hidden="1" x14ac:dyDescent="0.3">
      <c r="A38" s="97"/>
      <c r="B38" s="97"/>
      <c r="C38" s="97"/>
      <c r="D38" s="97"/>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row>
    <row r="39" spans="1:30" hidden="1" x14ac:dyDescent="0.3">
      <c r="A39" s="97"/>
      <c r="B39" s="97"/>
      <c r="C39" s="97"/>
      <c r="D39" s="97"/>
      <c r="E39" s="97"/>
      <c r="F39" s="97"/>
      <c r="G39" s="97"/>
      <c r="H39" s="97"/>
      <c r="I39" s="97"/>
      <c r="J39" s="97"/>
      <c r="K39" s="97"/>
      <c r="L39" s="97"/>
      <c r="M39" s="97"/>
      <c r="N39" s="97"/>
      <c r="O39" s="97"/>
      <c r="P39" s="97"/>
      <c r="Q39" s="97"/>
      <c r="R39" s="97"/>
      <c r="S39" s="97"/>
      <c r="T39" s="97"/>
      <c r="U39" s="97"/>
      <c r="V39" s="97"/>
      <c r="W39" s="97"/>
      <c r="X39" s="97"/>
      <c r="Y39" s="97"/>
      <c r="Z39" s="97"/>
      <c r="AA39" s="97"/>
      <c r="AB39" s="97"/>
      <c r="AC39" s="97"/>
      <c r="AD39" s="97"/>
    </row>
    <row r="40" spans="1:30" hidden="1" x14ac:dyDescent="0.3">
      <c r="A40" s="97"/>
      <c r="B40" s="97"/>
      <c r="C40" s="97"/>
      <c r="D40" s="97"/>
      <c r="E40" s="97"/>
      <c r="F40" s="97"/>
      <c r="G40" s="97"/>
      <c r="H40" s="97"/>
      <c r="I40" s="97"/>
      <c r="J40" s="97"/>
      <c r="K40" s="97"/>
      <c r="L40" s="97"/>
      <c r="M40" s="97"/>
      <c r="N40" s="97"/>
      <c r="O40" s="97"/>
      <c r="P40" s="97"/>
      <c r="Q40" s="97"/>
      <c r="R40" s="97"/>
      <c r="S40" s="97"/>
      <c r="T40" s="97"/>
      <c r="U40" s="97"/>
      <c r="V40" s="97"/>
      <c r="W40" s="97"/>
      <c r="X40" s="97"/>
      <c r="Y40" s="97"/>
      <c r="Z40" s="97"/>
      <c r="AA40" s="97"/>
      <c r="AB40" s="97"/>
      <c r="AC40" s="97"/>
      <c r="AD40" s="97"/>
    </row>
    <row r="41" spans="1:30" hidden="1" x14ac:dyDescent="0.3">
      <c r="A41" s="97"/>
      <c r="B41" s="97"/>
      <c r="C41" s="97"/>
      <c r="D41" s="97"/>
      <c r="E41" s="97"/>
      <c r="F41" s="97"/>
      <c r="G41" s="97"/>
      <c r="H41" s="97"/>
      <c r="I41" s="97"/>
      <c r="J41" s="97"/>
      <c r="K41" s="97"/>
      <c r="L41" s="97"/>
      <c r="M41" s="97"/>
      <c r="N41" s="97"/>
      <c r="O41" s="97"/>
      <c r="P41" s="97"/>
      <c r="Q41" s="97"/>
      <c r="R41" s="97"/>
      <c r="S41" s="97"/>
      <c r="T41" s="97"/>
      <c r="U41" s="97"/>
      <c r="V41" s="97"/>
      <c r="W41" s="97"/>
      <c r="X41" s="97"/>
      <c r="Y41" s="97"/>
      <c r="Z41" s="97"/>
      <c r="AA41" s="97"/>
      <c r="AB41" s="97"/>
      <c r="AC41" s="97"/>
      <c r="AD41" s="97"/>
    </row>
    <row r="42" spans="1:30" hidden="1" x14ac:dyDescent="0.3">
      <c r="A42" s="97"/>
      <c r="B42" s="97"/>
      <c r="C42" s="97"/>
      <c r="D42" s="97"/>
      <c r="E42" s="97"/>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row>
    <row r="43" spans="1:30" hidden="1" x14ac:dyDescent="0.3">
      <c r="A43" s="97"/>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row>
    <row r="44" spans="1:30" hidden="1" x14ac:dyDescent="0.3">
      <c r="A44" s="97"/>
      <c r="B44" s="97"/>
      <c r="C44" s="97"/>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row>
    <row r="45" spans="1:30" hidden="1" x14ac:dyDescent="0.3">
      <c r="A45" s="97"/>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row>
    <row r="46" spans="1:30" hidden="1" x14ac:dyDescent="0.3">
      <c r="A46" s="97"/>
      <c r="B46" s="97"/>
      <c r="C46" s="97"/>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row>
    <row r="47" spans="1:30" hidden="1" x14ac:dyDescent="0.3">
      <c r="A47" s="97"/>
      <c r="B47" s="97"/>
      <c r="C47" s="97"/>
      <c r="D47" s="97"/>
      <c r="E47" s="97"/>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row>
    <row r="48" spans="1:30" hidden="1" x14ac:dyDescent="0.3">
      <c r="A48" s="97"/>
      <c r="B48" s="97"/>
      <c r="C48" s="97"/>
      <c r="D48" s="97"/>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row>
    <row r="49" spans="1:30" hidden="1" x14ac:dyDescent="0.3">
      <c r="A49" s="97"/>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row>
    <row r="50" spans="1:30" hidden="1" x14ac:dyDescent="0.3">
      <c r="A50" s="97"/>
      <c r="B50" s="97"/>
      <c r="C50" s="97"/>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row>
    <row r="51" spans="1:30" hidden="1" x14ac:dyDescent="0.3">
      <c r="A51" s="97"/>
      <c r="B51" s="97"/>
      <c r="C51" s="97"/>
      <c r="D51" s="97"/>
      <c r="E51" s="97"/>
      <c r="F51" s="97"/>
      <c r="G51" s="97"/>
      <c r="H51" s="97"/>
      <c r="I51" s="97"/>
      <c r="J51" s="97"/>
      <c r="K51" s="97"/>
      <c r="L51" s="97"/>
      <c r="M51" s="97"/>
      <c r="N51" s="97"/>
      <c r="O51" s="97"/>
      <c r="P51" s="97"/>
      <c r="Q51" s="97"/>
      <c r="R51" s="97"/>
      <c r="S51" s="97"/>
      <c r="T51" s="97"/>
      <c r="U51" s="97"/>
      <c r="V51" s="97"/>
      <c r="W51" s="97"/>
      <c r="X51" s="97"/>
      <c r="Y51" s="97"/>
      <c r="Z51" s="97"/>
      <c r="AA51" s="97"/>
      <c r="AB51" s="97"/>
      <c r="AC51" s="97"/>
      <c r="AD51" s="97"/>
    </row>
    <row r="52" spans="1:30" hidden="1" x14ac:dyDescent="0.3">
      <c r="A52" s="97"/>
      <c r="B52" s="97"/>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row>
    <row r="53" spans="1:30" hidden="1" x14ac:dyDescent="0.3">
      <c r="A53" s="97"/>
      <c r="B53" s="97"/>
      <c r="C53" s="97"/>
      <c r="D53" s="97"/>
      <c r="E53" s="97"/>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row>
    <row r="54" spans="1:30" hidden="1" x14ac:dyDescent="0.3">
      <c r="A54" s="97"/>
      <c r="B54" s="97"/>
      <c r="C54" s="97"/>
      <c r="D54" s="97"/>
      <c r="E54" s="97"/>
      <c r="F54" s="97"/>
      <c r="G54" s="97"/>
      <c r="H54" s="97"/>
      <c r="I54" s="97"/>
      <c r="J54" s="97"/>
      <c r="K54" s="97"/>
      <c r="L54" s="97"/>
      <c r="M54" s="97"/>
      <c r="N54" s="97"/>
      <c r="O54" s="97"/>
      <c r="P54" s="97"/>
      <c r="Q54" s="97"/>
      <c r="R54" s="97"/>
      <c r="S54" s="97"/>
      <c r="T54" s="97"/>
      <c r="U54" s="97"/>
      <c r="V54" s="97"/>
      <c r="W54" s="97"/>
      <c r="X54" s="97"/>
      <c r="Y54" s="97"/>
      <c r="Z54" s="97"/>
      <c r="AA54" s="97"/>
      <c r="AB54" s="97"/>
      <c r="AC54" s="97"/>
      <c r="AD54" s="97"/>
    </row>
    <row r="55" spans="1:30" hidden="1" x14ac:dyDescent="0.3">
      <c r="A55" s="97"/>
      <c r="B55" s="97"/>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row>
    <row r="56" spans="1:30" hidden="1" x14ac:dyDescent="0.3">
      <c r="A56" s="97"/>
      <c r="B56" s="97"/>
      <c r="C56" s="97"/>
      <c r="D56" s="97"/>
      <c r="E56" s="97"/>
      <c r="F56" s="97"/>
      <c r="G56" s="97"/>
      <c r="H56" s="97"/>
      <c r="I56" s="97"/>
      <c r="J56" s="97"/>
      <c r="K56" s="97"/>
      <c r="L56" s="97"/>
      <c r="M56" s="97"/>
      <c r="N56" s="97"/>
      <c r="O56" s="97"/>
      <c r="P56" s="97"/>
      <c r="Q56" s="97"/>
      <c r="R56" s="97"/>
      <c r="S56" s="97"/>
      <c r="T56" s="97"/>
      <c r="U56" s="97"/>
      <c r="V56" s="97"/>
      <c r="W56" s="97"/>
      <c r="X56" s="97"/>
      <c r="Y56" s="97"/>
      <c r="Z56" s="97"/>
      <c r="AA56" s="97"/>
      <c r="AB56" s="97"/>
      <c r="AC56" s="97"/>
      <c r="AD56" s="97"/>
    </row>
    <row r="57" spans="1:30" hidden="1" x14ac:dyDescent="0.3">
      <c r="A57" s="97"/>
      <c r="B57" s="97"/>
      <c r="C57" s="97"/>
      <c r="D57" s="97"/>
      <c r="E57" s="97"/>
      <c r="F57" s="97"/>
      <c r="G57" s="97"/>
      <c r="H57" s="97"/>
      <c r="I57" s="97"/>
      <c r="J57" s="97"/>
      <c r="K57" s="97"/>
      <c r="L57" s="97"/>
      <c r="M57" s="97"/>
      <c r="N57" s="97"/>
      <c r="O57" s="97"/>
      <c r="P57" s="97"/>
      <c r="Q57" s="97"/>
      <c r="R57" s="97"/>
      <c r="S57" s="97"/>
      <c r="T57" s="97"/>
      <c r="U57" s="97"/>
      <c r="V57" s="97"/>
      <c r="W57" s="97"/>
      <c r="X57" s="97"/>
      <c r="Y57" s="97"/>
      <c r="Z57" s="97"/>
      <c r="AA57" s="97"/>
      <c r="AB57" s="97"/>
      <c r="AC57" s="97"/>
      <c r="AD57" s="97"/>
    </row>
    <row r="58" spans="1:30" hidden="1" x14ac:dyDescent="0.3">
      <c r="A58" s="97"/>
      <c r="B58" s="97"/>
      <c r="C58" s="97"/>
      <c r="D58" s="97"/>
      <c r="E58" s="97"/>
      <c r="F58" s="97"/>
      <c r="G58" s="97"/>
      <c r="H58" s="97"/>
      <c r="I58" s="97"/>
      <c r="J58" s="97"/>
      <c r="K58" s="97"/>
      <c r="L58" s="97"/>
      <c r="M58" s="97"/>
      <c r="N58" s="97"/>
      <c r="O58" s="97"/>
      <c r="P58" s="97"/>
      <c r="Q58" s="97"/>
      <c r="R58" s="97"/>
      <c r="S58" s="97"/>
      <c r="T58" s="97"/>
      <c r="U58" s="97"/>
      <c r="V58" s="97"/>
      <c r="W58" s="97"/>
      <c r="X58" s="97"/>
      <c r="Y58" s="97"/>
      <c r="Z58" s="97"/>
      <c r="AA58" s="97"/>
      <c r="AB58" s="97"/>
      <c r="AC58" s="97"/>
      <c r="AD58" s="97"/>
    </row>
    <row r="59" spans="1:30" hidden="1" x14ac:dyDescent="0.3">
      <c r="A59" s="97"/>
      <c r="B59" s="97"/>
      <c r="C59" s="97"/>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row>
    <row r="60" spans="1:30" hidden="1" x14ac:dyDescent="0.3">
      <c r="A60" s="97"/>
      <c r="B60" s="97"/>
      <c r="C60" s="97"/>
      <c r="D60" s="97"/>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row>
    <row r="61" spans="1:30" hidden="1" x14ac:dyDescent="0.3">
      <c r="A61" s="97"/>
      <c r="B61" s="97"/>
      <c r="C61" s="97"/>
      <c r="D61" s="97"/>
      <c r="E61" s="97"/>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row>
    <row r="62" spans="1:30" hidden="1" x14ac:dyDescent="0.3">
      <c r="A62" s="97"/>
      <c r="B62" s="97"/>
      <c r="C62" s="97"/>
      <c r="D62" s="97"/>
      <c r="E62" s="97"/>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row>
    <row r="63" spans="1:30" hidden="1" x14ac:dyDescent="0.3">
      <c r="A63" s="97"/>
      <c r="B63" s="97"/>
      <c r="C63" s="97"/>
      <c r="D63" s="97"/>
      <c r="E63" s="97"/>
      <c r="F63" s="97"/>
      <c r="G63" s="97"/>
      <c r="H63" s="97"/>
      <c r="I63" s="97"/>
      <c r="J63" s="97"/>
      <c r="K63" s="97"/>
      <c r="L63" s="97"/>
      <c r="M63" s="97"/>
      <c r="N63" s="97"/>
      <c r="O63" s="97"/>
      <c r="P63" s="97"/>
      <c r="Q63" s="97"/>
      <c r="R63" s="97"/>
      <c r="S63" s="97"/>
      <c r="T63" s="97"/>
      <c r="U63" s="97"/>
      <c r="V63" s="97"/>
      <c r="W63" s="97"/>
      <c r="X63" s="97"/>
      <c r="Y63" s="97"/>
      <c r="Z63" s="97"/>
      <c r="AA63" s="97"/>
      <c r="AB63" s="97"/>
      <c r="AC63" s="97"/>
      <c r="AD63" s="97"/>
    </row>
    <row r="64" spans="1:30" hidden="1" x14ac:dyDescent="0.3">
      <c r="A64" s="97"/>
      <c r="B64" s="97"/>
      <c r="C64" s="97"/>
      <c r="D64" s="97"/>
      <c r="E64" s="97"/>
      <c r="F64" s="97"/>
      <c r="G64" s="97"/>
      <c r="H64" s="97"/>
      <c r="I64" s="97"/>
      <c r="J64" s="97"/>
      <c r="K64" s="97"/>
      <c r="L64" s="97"/>
      <c r="M64" s="97"/>
      <c r="N64" s="97"/>
      <c r="O64" s="97"/>
      <c r="P64" s="97"/>
      <c r="Q64" s="97"/>
      <c r="R64" s="97"/>
      <c r="S64" s="97"/>
      <c r="T64" s="97"/>
      <c r="U64" s="97"/>
      <c r="V64" s="97"/>
      <c r="W64" s="97"/>
      <c r="X64" s="97"/>
      <c r="Y64" s="97"/>
      <c r="Z64" s="97"/>
      <c r="AA64" s="97"/>
      <c r="AB64" s="97"/>
      <c r="AC64" s="97"/>
      <c r="AD64" s="97"/>
    </row>
    <row r="65" spans="1:30" hidden="1" x14ac:dyDescent="0.3">
      <c r="A65" s="97"/>
      <c r="B65" s="97"/>
      <c r="C65" s="97"/>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row>
    <row r="66" spans="1:30" hidden="1" x14ac:dyDescent="0.3">
      <c r="A66" s="97"/>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row>
    <row r="67" spans="1:30" hidden="1" x14ac:dyDescent="0.3">
      <c r="A67" s="97"/>
      <c r="B67" s="97"/>
      <c r="C67" s="97"/>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row>
    <row r="68" spans="1:30" hidden="1" x14ac:dyDescent="0.3">
      <c r="A68" s="97"/>
      <c r="B68" s="97"/>
      <c r="C68" s="97"/>
      <c r="D68" s="97"/>
      <c r="E68" s="97"/>
      <c r="F68" s="97"/>
      <c r="G68" s="97"/>
      <c r="H68" s="97"/>
      <c r="I68" s="97"/>
      <c r="J68" s="97"/>
      <c r="K68" s="97"/>
      <c r="L68" s="97"/>
      <c r="M68" s="97"/>
      <c r="N68" s="97"/>
      <c r="O68" s="97"/>
      <c r="P68" s="97"/>
      <c r="Q68" s="97"/>
      <c r="R68" s="97"/>
      <c r="S68" s="97"/>
      <c r="T68" s="97"/>
      <c r="U68" s="97"/>
      <c r="V68" s="97"/>
      <c r="W68" s="97"/>
      <c r="X68" s="97"/>
      <c r="Y68" s="97"/>
      <c r="Z68" s="97"/>
      <c r="AA68" s="97"/>
      <c r="AB68" s="97"/>
      <c r="AC68" s="97"/>
      <c r="AD68" s="97"/>
    </row>
    <row r="69" spans="1:30" hidden="1" x14ac:dyDescent="0.3">
      <c r="A69" s="97"/>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row>
    <row r="70" spans="1:30" hidden="1" x14ac:dyDescent="0.3">
      <c r="A70" s="97"/>
      <c r="B70" s="97"/>
      <c r="C70" s="97"/>
      <c r="D70" s="97"/>
      <c r="E70" s="97"/>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row>
    <row r="71" spans="1:30" hidden="1" x14ac:dyDescent="0.3">
      <c r="A71" s="97"/>
      <c r="B71" s="97"/>
      <c r="C71" s="97"/>
      <c r="D71" s="97"/>
      <c r="E71" s="97"/>
      <c r="F71" s="97"/>
      <c r="G71" s="97"/>
      <c r="H71" s="97"/>
      <c r="I71" s="97"/>
      <c r="J71" s="97"/>
      <c r="K71" s="97"/>
      <c r="L71" s="97"/>
      <c r="M71" s="97"/>
      <c r="N71" s="97"/>
      <c r="O71" s="97"/>
      <c r="P71" s="97"/>
      <c r="Q71" s="97"/>
      <c r="R71" s="97"/>
      <c r="S71" s="97"/>
      <c r="T71" s="97"/>
      <c r="U71" s="97"/>
      <c r="V71" s="97"/>
      <c r="W71" s="97"/>
      <c r="X71" s="97"/>
      <c r="Y71" s="97"/>
      <c r="Z71" s="97"/>
      <c r="AA71" s="97"/>
      <c r="AB71" s="97"/>
      <c r="AC71" s="97"/>
      <c r="AD71" s="97"/>
    </row>
    <row r="72" spans="1:30" hidden="1" x14ac:dyDescent="0.3">
      <c r="A72" s="97"/>
      <c r="B72" s="97"/>
      <c r="C72" s="97"/>
      <c r="D72" s="97"/>
      <c r="E72" s="97"/>
      <c r="F72" s="97"/>
      <c r="G72" s="97"/>
      <c r="H72" s="97"/>
      <c r="I72" s="97"/>
      <c r="J72" s="97"/>
      <c r="K72" s="97"/>
      <c r="L72" s="97"/>
      <c r="M72" s="97"/>
      <c r="N72" s="97"/>
      <c r="O72" s="97"/>
      <c r="P72" s="97"/>
      <c r="Q72" s="97"/>
      <c r="R72" s="97"/>
      <c r="S72" s="97"/>
      <c r="T72" s="97"/>
      <c r="U72" s="97"/>
      <c r="V72" s="97"/>
      <c r="W72" s="97"/>
      <c r="X72" s="97"/>
      <c r="Y72" s="97"/>
      <c r="Z72" s="97"/>
      <c r="AA72" s="97"/>
      <c r="AB72" s="97"/>
      <c r="AC72" s="97"/>
      <c r="AD72" s="97"/>
    </row>
    <row r="73" spans="1:30" hidden="1" x14ac:dyDescent="0.3">
      <c r="A73" s="97"/>
      <c r="B73" s="97"/>
      <c r="C73" s="97"/>
      <c r="D73" s="97"/>
      <c r="E73" s="97"/>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row>
    <row r="74" spans="1:30" hidden="1" x14ac:dyDescent="0.3">
      <c r="A74" s="97"/>
      <c r="B74" s="97"/>
      <c r="C74" s="97"/>
      <c r="D74" s="97"/>
      <c r="E74" s="97"/>
      <c r="F74" s="97"/>
      <c r="G74" s="97"/>
      <c r="H74" s="97"/>
      <c r="I74" s="97"/>
      <c r="J74" s="97"/>
      <c r="K74" s="97"/>
      <c r="L74" s="97"/>
      <c r="M74" s="97"/>
      <c r="N74" s="97"/>
      <c r="O74" s="97"/>
      <c r="P74" s="97"/>
      <c r="Q74" s="97"/>
      <c r="R74" s="97"/>
      <c r="S74" s="97"/>
      <c r="T74" s="97"/>
      <c r="U74" s="97"/>
      <c r="V74" s="97"/>
      <c r="W74" s="97"/>
      <c r="X74" s="97"/>
      <c r="Y74" s="97"/>
      <c r="Z74" s="97"/>
      <c r="AA74" s="97"/>
      <c r="AB74" s="97"/>
      <c r="AC74" s="97"/>
      <c r="AD74" s="97"/>
    </row>
    <row r="75" spans="1:30" hidden="1" x14ac:dyDescent="0.3">
      <c r="A75" s="97"/>
      <c r="B75" s="97"/>
      <c r="C75" s="97"/>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row>
    <row r="76" spans="1:30" hidden="1" x14ac:dyDescent="0.3">
      <c r="A76" s="97"/>
      <c r="B76" s="97"/>
      <c r="C76" s="97"/>
      <c r="D76" s="97"/>
      <c r="E76" s="97"/>
      <c r="F76" s="97"/>
      <c r="G76" s="97"/>
      <c r="H76" s="97"/>
      <c r="I76" s="97"/>
      <c r="J76" s="97"/>
      <c r="K76" s="97"/>
      <c r="L76" s="97"/>
      <c r="M76" s="97"/>
      <c r="N76" s="97"/>
      <c r="O76" s="97"/>
      <c r="P76" s="97"/>
      <c r="Q76" s="97"/>
      <c r="R76" s="97"/>
      <c r="S76" s="97"/>
      <c r="T76" s="97"/>
      <c r="U76" s="97"/>
      <c r="V76" s="97"/>
      <c r="W76" s="97"/>
      <c r="X76" s="97"/>
      <c r="Y76" s="97"/>
      <c r="Z76" s="97"/>
      <c r="AA76" s="97"/>
      <c r="AB76" s="97"/>
      <c r="AC76" s="97"/>
      <c r="AD76" s="97"/>
    </row>
    <row r="77" spans="1:30" hidden="1" x14ac:dyDescent="0.3">
      <c r="A77" s="97"/>
      <c r="B77" s="97"/>
      <c r="C77" s="97"/>
      <c r="D77" s="97"/>
      <c r="E77" s="97"/>
      <c r="F77" s="97"/>
      <c r="G77" s="97"/>
      <c r="H77" s="97"/>
      <c r="I77" s="97"/>
      <c r="J77" s="97"/>
      <c r="K77" s="97"/>
      <c r="L77" s="97"/>
      <c r="M77" s="97"/>
      <c r="N77" s="97"/>
      <c r="O77" s="97"/>
      <c r="P77" s="97"/>
      <c r="Q77" s="97"/>
      <c r="R77" s="97"/>
      <c r="S77" s="97"/>
      <c r="T77" s="97"/>
      <c r="U77" s="97"/>
      <c r="V77" s="97"/>
      <c r="W77" s="97"/>
      <c r="X77" s="97"/>
      <c r="Y77" s="97"/>
      <c r="Z77" s="97"/>
      <c r="AA77" s="97"/>
      <c r="AB77" s="97"/>
      <c r="AC77" s="97"/>
      <c r="AD77" s="97"/>
    </row>
    <row r="78" spans="1:30" hidden="1" x14ac:dyDescent="0.3">
      <c r="A78" s="97"/>
      <c r="B78" s="97"/>
      <c r="C78" s="97"/>
      <c r="D78" s="97"/>
      <c r="E78" s="97"/>
      <c r="F78" s="97"/>
      <c r="G78" s="97"/>
      <c r="H78" s="97"/>
      <c r="I78" s="97"/>
      <c r="J78" s="97"/>
      <c r="K78" s="97"/>
      <c r="L78" s="97"/>
      <c r="M78" s="97"/>
      <c r="N78" s="97"/>
      <c r="O78" s="97"/>
      <c r="P78" s="97"/>
      <c r="Q78" s="97"/>
      <c r="R78" s="97"/>
      <c r="S78" s="97"/>
      <c r="T78" s="97"/>
      <c r="U78" s="97"/>
      <c r="V78" s="97"/>
      <c r="W78" s="97"/>
      <c r="X78" s="97"/>
      <c r="Y78" s="97"/>
      <c r="Z78" s="97"/>
      <c r="AA78" s="97"/>
      <c r="AB78" s="97"/>
      <c r="AC78" s="97"/>
      <c r="AD78" s="97"/>
    </row>
    <row r="79" spans="1:30" hidden="1" x14ac:dyDescent="0.3">
      <c r="A79" s="97"/>
      <c r="B79" s="97"/>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row>
    <row r="80" spans="1:30" hidden="1" x14ac:dyDescent="0.3">
      <c r="A80" s="97"/>
      <c r="B80" s="97"/>
      <c r="C80" s="97"/>
      <c r="D80" s="97"/>
      <c r="E80" s="97"/>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row>
    <row r="81" spans="1:30" hidden="1" x14ac:dyDescent="0.3">
      <c r="A81" s="97"/>
      <c r="B81" s="97"/>
      <c r="C81" s="97"/>
      <c r="D81" s="97"/>
      <c r="E81" s="97"/>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row>
    <row r="82" spans="1:30" hidden="1" x14ac:dyDescent="0.3">
      <c r="A82" s="97"/>
      <c r="B82" s="97"/>
      <c r="C82" s="97"/>
      <c r="D82" s="97"/>
      <c r="E82" s="97"/>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row>
    <row r="83" spans="1:30" hidden="1" x14ac:dyDescent="0.3">
      <c r="A83" s="97"/>
      <c r="B83" s="97"/>
      <c r="C83" s="97"/>
      <c r="D83" s="97"/>
      <c r="E83" s="97"/>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row>
    <row r="84" spans="1:30" hidden="1" x14ac:dyDescent="0.3">
      <c r="A84" s="97"/>
      <c r="B84" s="97"/>
      <c r="C84" s="97"/>
      <c r="D84" s="97"/>
      <c r="E84" s="97"/>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row>
    <row r="85" spans="1:30" hidden="1" x14ac:dyDescent="0.3">
      <c r="A85" s="97"/>
      <c r="B85" s="97"/>
      <c r="C85" s="97"/>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row>
    <row r="86" spans="1:30" hidden="1" x14ac:dyDescent="0.3">
      <c r="A86" s="97"/>
      <c r="B86" s="97"/>
      <c r="C86" s="97"/>
      <c r="D86" s="97"/>
      <c r="E86" s="97"/>
      <c r="F86" s="97"/>
      <c r="G86" s="97"/>
      <c r="H86" s="97"/>
      <c r="I86" s="97"/>
      <c r="J86" s="97"/>
      <c r="K86" s="97"/>
      <c r="L86" s="97"/>
      <c r="M86" s="97"/>
      <c r="N86" s="97"/>
      <c r="O86" s="97"/>
      <c r="P86" s="97"/>
      <c r="Q86" s="97"/>
      <c r="R86" s="97"/>
      <c r="S86" s="97"/>
      <c r="T86" s="97"/>
      <c r="U86" s="97"/>
      <c r="V86" s="97"/>
      <c r="W86" s="97"/>
      <c r="X86" s="97"/>
      <c r="Y86" s="97"/>
      <c r="Z86" s="97"/>
      <c r="AA86" s="97"/>
      <c r="AB86" s="97"/>
      <c r="AC86" s="97"/>
      <c r="AD86" s="97"/>
    </row>
    <row r="87" spans="1:30" hidden="1" x14ac:dyDescent="0.3">
      <c r="A87" s="97"/>
      <c r="B87" s="97"/>
      <c r="C87" s="97"/>
      <c r="D87" s="97"/>
      <c r="E87" s="97"/>
      <c r="F87" s="97"/>
      <c r="G87" s="97"/>
      <c r="H87" s="97"/>
      <c r="I87" s="97"/>
      <c r="J87" s="97"/>
      <c r="K87" s="97"/>
      <c r="L87" s="97"/>
      <c r="M87" s="97"/>
      <c r="N87" s="97"/>
      <c r="O87" s="97"/>
      <c r="P87" s="97"/>
      <c r="Q87" s="97"/>
      <c r="R87" s="97"/>
      <c r="S87" s="97"/>
      <c r="T87" s="97"/>
      <c r="U87" s="97"/>
      <c r="V87" s="97"/>
      <c r="W87" s="97"/>
      <c r="X87" s="97"/>
      <c r="Y87" s="97"/>
      <c r="Z87" s="97"/>
      <c r="AA87" s="97"/>
      <c r="AB87" s="97"/>
      <c r="AC87" s="97"/>
      <c r="AD87" s="97"/>
    </row>
    <row r="88" spans="1:30" hidden="1" x14ac:dyDescent="0.3">
      <c r="A88" s="97"/>
      <c r="B88" s="97"/>
      <c r="C88" s="97"/>
      <c r="D88" s="97"/>
      <c r="E88" s="97"/>
      <c r="F88" s="97"/>
      <c r="G88" s="97"/>
      <c r="H88" s="97"/>
      <c r="I88" s="97"/>
      <c r="J88" s="97"/>
      <c r="K88" s="97"/>
      <c r="L88" s="97"/>
      <c r="M88" s="97"/>
      <c r="N88" s="97"/>
      <c r="O88" s="97"/>
      <c r="P88" s="97"/>
      <c r="Q88" s="97"/>
      <c r="R88" s="97"/>
      <c r="S88" s="97"/>
      <c r="T88" s="97"/>
      <c r="U88" s="97"/>
      <c r="V88" s="97"/>
      <c r="W88" s="97"/>
      <c r="X88" s="97"/>
      <c r="Y88" s="97"/>
      <c r="Z88" s="97"/>
      <c r="AA88" s="97"/>
      <c r="AB88" s="97"/>
      <c r="AC88" s="97"/>
      <c r="AD88" s="97"/>
    </row>
    <row r="89" spans="1:30" hidden="1" x14ac:dyDescent="0.3">
      <c r="A89" s="97"/>
      <c r="B89" s="97"/>
      <c r="C89" s="97"/>
      <c r="D89" s="97"/>
      <c r="E89" s="97"/>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row>
    <row r="90" spans="1:30" hidden="1" x14ac:dyDescent="0.3">
      <c r="A90" s="97"/>
      <c r="B90" s="97"/>
      <c r="C90" s="97"/>
      <c r="D90" s="97"/>
      <c r="E90" s="97"/>
      <c r="F90" s="97"/>
      <c r="G90" s="97"/>
      <c r="H90" s="97"/>
      <c r="I90" s="97"/>
      <c r="J90" s="97"/>
      <c r="K90" s="97"/>
      <c r="L90" s="97"/>
      <c r="M90" s="97"/>
      <c r="N90" s="97"/>
      <c r="O90" s="97"/>
      <c r="P90" s="97"/>
      <c r="Q90" s="97"/>
      <c r="R90" s="97"/>
      <c r="S90" s="97"/>
      <c r="T90" s="97"/>
      <c r="U90" s="97"/>
      <c r="V90" s="97"/>
      <c r="W90" s="97"/>
      <c r="X90" s="97"/>
      <c r="Y90" s="97"/>
      <c r="Z90" s="97"/>
      <c r="AA90" s="97"/>
      <c r="AB90" s="97"/>
      <c r="AC90" s="97"/>
      <c r="AD90" s="97"/>
    </row>
    <row r="91" spans="1:30" hidden="1" x14ac:dyDescent="0.3">
      <c r="A91" s="97"/>
      <c r="B91" s="97"/>
      <c r="C91" s="97"/>
      <c r="D91" s="97"/>
      <c r="E91" s="97"/>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row>
    <row r="92" spans="1:30" hidden="1" x14ac:dyDescent="0.3">
      <c r="A92" s="97"/>
      <c r="B92" s="97"/>
      <c r="C92" s="97"/>
      <c r="D92" s="97"/>
      <c r="E92" s="97"/>
      <c r="F92" s="97"/>
      <c r="G92" s="97"/>
      <c r="H92" s="97"/>
      <c r="I92" s="97"/>
      <c r="J92" s="97"/>
      <c r="K92" s="97"/>
      <c r="L92" s="97"/>
      <c r="M92" s="97"/>
      <c r="N92" s="97"/>
      <c r="O92" s="97"/>
      <c r="P92" s="97"/>
      <c r="Q92" s="97"/>
      <c r="R92" s="97"/>
      <c r="S92" s="97"/>
      <c r="T92" s="97"/>
      <c r="U92" s="97"/>
      <c r="V92" s="97"/>
      <c r="W92" s="97"/>
      <c r="X92" s="97"/>
      <c r="Y92" s="97"/>
      <c r="Z92" s="97"/>
      <c r="AA92" s="97"/>
      <c r="AB92" s="97"/>
      <c r="AC92" s="97"/>
      <c r="AD92" s="97"/>
    </row>
    <row r="93" spans="1:30" hidden="1" x14ac:dyDescent="0.3">
      <c r="A93" s="97"/>
      <c r="B93" s="97"/>
      <c r="C93" s="97"/>
      <c r="D93" s="97"/>
      <c r="E93" s="97"/>
      <c r="F93" s="97"/>
      <c r="G93" s="97"/>
      <c r="H93" s="97"/>
      <c r="I93" s="97"/>
      <c r="J93" s="97"/>
      <c r="K93" s="97"/>
      <c r="L93" s="97"/>
      <c r="M93" s="97"/>
      <c r="N93" s="97"/>
      <c r="O93" s="97"/>
      <c r="P93" s="97"/>
      <c r="Q93" s="97"/>
      <c r="R93" s="97"/>
      <c r="S93" s="97"/>
      <c r="T93" s="97"/>
      <c r="U93" s="97"/>
      <c r="V93" s="97"/>
      <c r="W93" s="97"/>
      <c r="X93" s="97"/>
      <c r="Y93" s="97"/>
      <c r="Z93" s="97"/>
      <c r="AA93" s="97"/>
      <c r="AB93" s="97"/>
      <c r="AC93" s="97"/>
      <c r="AD93" s="97"/>
    </row>
    <row r="94" spans="1:30" hidden="1" x14ac:dyDescent="0.3">
      <c r="A94" s="97"/>
      <c r="B94" s="97"/>
      <c r="C94" s="97"/>
      <c r="D94" s="97"/>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row>
  </sheetData>
  <sheetProtection algorithmName="SHA-512" hashValue="oLu810SgcOW+js07T9cPHKQs7haq9ho7ATD0Kt5ABqV3BEWlJGYnMTFk4KqMtaq+0f/Zm/FFugQ9vnDL9iN7vQ==" saltValue="djOfSC1hdIPXg3yfvxUt9A==" spinCount="100000" sheet="1" objects="1"/>
  <mergeCells count="24">
    <mergeCell ref="D1:J5"/>
    <mergeCell ref="B6:J8"/>
    <mergeCell ref="B9:J10"/>
    <mergeCell ref="B11:E11"/>
    <mergeCell ref="F11:J11"/>
    <mergeCell ref="B12:J12"/>
    <mergeCell ref="B14:B15"/>
    <mergeCell ref="C14:J15"/>
    <mergeCell ref="B17:H17"/>
    <mergeCell ref="B19:C20"/>
    <mergeCell ref="D19:H20"/>
    <mergeCell ref="B21:C22"/>
    <mergeCell ref="D21:H22"/>
    <mergeCell ref="B23:C24"/>
    <mergeCell ref="D23:H24"/>
    <mergeCell ref="D25:H25"/>
    <mergeCell ref="J28:R28"/>
    <mergeCell ref="B29:C29"/>
    <mergeCell ref="D29:H29"/>
    <mergeCell ref="D26:H26"/>
    <mergeCell ref="B27:C27"/>
    <mergeCell ref="D27:H27"/>
    <mergeCell ref="B28:C28"/>
    <mergeCell ref="D28:H28"/>
  </mergeCells>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1BD83-4DCB-48C1-9984-9BC62BA2F706}">
  <sheetPr codeName="Sheet11">
    <tabColor rgb="FF005E5C"/>
  </sheetPr>
  <dimension ref="B1:XEZ106"/>
  <sheetViews>
    <sheetView zoomScale="80" zoomScaleNormal="80" workbookViewId="0">
      <pane xSplit="2" ySplit="5" topLeftCell="C6" activePane="bottomRight" state="frozenSplit"/>
      <selection activeCell="C1" sqref="C1"/>
      <selection pane="topRight"/>
      <selection pane="bottomLeft"/>
      <selection pane="bottomRight" activeCell="C1" sqref="C1"/>
    </sheetView>
  </sheetViews>
  <sheetFormatPr defaultColWidth="9.109375" defaultRowHeight="14.4" zeroHeight="1" x14ac:dyDescent="0.3"/>
  <cols>
    <col min="1" max="1" width="8.77734375" style="97" customWidth="1"/>
    <col min="2" max="2" width="79.33203125" style="97" customWidth="1"/>
    <col min="3" max="3" width="24.109375" style="97" customWidth="1"/>
    <col min="4" max="4" width="31.109375" style="97" customWidth="1"/>
    <col min="5" max="5" width="114.44140625" style="97" customWidth="1"/>
    <col min="6" max="6" width="35.6640625" style="97" customWidth="1"/>
    <col min="7" max="11" width="17.77734375" style="97" customWidth="1"/>
    <col min="12" max="13" width="41.33203125" style="97" customWidth="1"/>
    <col min="14" max="14" width="96" style="97" customWidth="1"/>
    <col min="15" max="15" width="9.109375" style="97" customWidth="1"/>
    <col min="16" max="19" width="9.109375" style="97" hidden="1" customWidth="1"/>
    <col min="20" max="16380" width="14.44140625" style="97" hidden="1" customWidth="1"/>
    <col min="16381" max="16383" width="14.44140625" style="97" customWidth="1"/>
    <col min="16384" max="16384" width="9.109375" style="97" customWidth="1"/>
  </cols>
  <sheetData>
    <row r="1" spans="2:14" x14ac:dyDescent="0.3">
      <c r="B1" s="1010" t="s">
        <v>383</v>
      </c>
      <c r="C1" s="1011"/>
      <c r="D1" s="1011"/>
      <c r="E1" s="1011"/>
      <c r="F1" s="1011"/>
      <c r="G1" s="1011"/>
      <c r="H1" s="1011"/>
      <c r="I1" s="1011"/>
      <c r="J1" s="1011"/>
      <c r="K1" s="1011"/>
      <c r="L1" s="1011"/>
      <c r="M1" s="1011"/>
      <c r="N1" s="1012"/>
    </row>
    <row r="2" spans="2:14" ht="15" customHeight="1" x14ac:dyDescent="0.3">
      <c r="B2" s="1013"/>
      <c r="C2" s="1014"/>
      <c r="D2" s="1014"/>
      <c r="E2" s="1014"/>
      <c r="F2" s="1014"/>
      <c r="G2" s="1014"/>
      <c r="H2" s="1014"/>
      <c r="I2" s="1014"/>
      <c r="J2" s="1014"/>
      <c r="K2" s="1014"/>
      <c r="L2" s="1014"/>
      <c r="M2" s="1014"/>
      <c r="N2" s="1015"/>
    </row>
    <row r="3" spans="2:14" ht="18" customHeight="1" x14ac:dyDescent="0.3">
      <c r="B3" s="1016" t="s">
        <v>269</v>
      </c>
      <c r="C3" s="1019" t="s">
        <v>384</v>
      </c>
      <c r="D3" s="1020"/>
      <c r="E3" s="1020"/>
      <c r="F3" s="1021"/>
      <c r="G3" s="1022" t="s">
        <v>385</v>
      </c>
      <c r="H3" s="1023"/>
      <c r="I3" s="1023"/>
      <c r="J3" s="1023"/>
      <c r="K3" s="1023"/>
      <c r="L3" s="1023"/>
      <c r="M3" s="1024"/>
      <c r="N3" s="1025" t="s">
        <v>386</v>
      </c>
    </row>
    <row r="4" spans="2:14" ht="98.25" customHeight="1" x14ac:dyDescent="0.3">
      <c r="B4" s="1017"/>
      <c r="C4" s="1028" t="s">
        <v>387</v>
      </c>
      <c r="D4" s="1030" t="s">
        <v>388</v>
      </c>
      <c r="E4" s="1030" t="s">
        <v>389</v>
      </c>
      <c r="F4" s="1032" t="s">
        <v>390</v>
      </c>
      <c r="G4" s="125" t="s">
        <v>391</v>
      </c>
      <c r="H4" s="10" t="s">
        <v>392</v>
      </c>
      <c r="I4" s="10" t="s">
        <v>393</v>
      </c>
      <c r="J4" s="10" t="s">
        <v>394</v>
      </c>
      <c r="K4" s="10" t="s">
        <v>395</v>
      </c>
      <c r="L4" s="1034" t="s">
        <v>396</v>
      </c>
      <c r="M4" s="1036" t="s">
        <v>397</v>
      </c>
      <c r="N4" s="1026"/>
    </row>
    <row r="5" spans="2:14" ht="65.55" customHeight="1" x14ac:dyDescent="0.3">
      <c r="B5" s="1018"/>
      <c r="C5" s="1029"/>
      <c r="D5" s="1031"/>
      <c r="E5" s="1031"/>
      <c r="F5" s="1033"/>
      <c r="G5" s="251" t="s">
        <v>125</v>
      </c>
      <c r="H5" s="9" t="s">
        <v>398</v>
      </c>
      <c r="I5" s="9" t="s">
        <v>399</v>
      </c>
      <c r="J5" s="9" t="s">
        <v>400</v>
      </c>
      <c r="K5" s="9" t="s">
        <v>401</v>
      </c>
      <c r="L5" s="1035"/>
      <c r="M5" s="1037"/>
      <c r="N5" s="1027"/>
    </row>
    <row r="6" spans="2:14" x14ac:dyDescent="0.3">
      <c r="B6" s="345" t="s">
        <v>307</v>
      </c>
      <c r="C6" s="2" t="s">
        <v>400</v>
      </c>
      <c r="D6" s="264" t="s">
        <v>400</v>
      </c>
      <c r="E6" s="348" t="s">
        <v>402</v>
      </c>
      <c r="F6" s="346" t="s">
        <v>400</v>
      </c>
      <c r="G6" s="252" t="s">
        <v>403</v>
      </c>
      <c r="H6" s="250" t="s">
        <v>403</v>
      </c>
      <c r="I6" s="250" t="s">
        <v>403</v>
      </c>
      <c r="J6" s="250">
        <v>1</v>
      </c>
      <c r="K6" s="4" t="s">
        <v>403</v>
      </c>
      <c r="L6" s="250" t="s">
        <v>403</v>
      </c>
      <c r="M6" s="253">
        <v>1</v>
      </c>
      <c r="N6" s="259" t="s">
        <v>402</v>
      </c>
    </row>
    <row r="7" spans="2:14" x14ac:dyDescent="0.3">
      <c r="B7" s="256" t="s">
        <v>309</v>
      </c>
      <c r="C7" s="1" t="s">
        <v>400</v>
      </c>
      <c r="D7" s="82" t="s">
        <v>400</v>
      </c>
      <c r="E7" s="258" t="s">
        <v>402</v>
      </c>
      <c r="F7" s="346" t="s">
        <v>400</v>
      </c>
      <c r="G7" s="7" t="s">
        <v>403</v>
      </c>
      <c r="H7" s="4" t="s">
        <v>403</v>
      </c>
      <c r="I7" s="4" t="s">
        <v>403</v>
      </c>
      <c r="J7" s="4">
        <v>1</v>
      </c>
      <c r="K7" s="4" t="s">
        <v>403</v>
      </c>
      <c r="L7" s="4" t="s">
        <v>403</v>
      </c>
      <c r="M7" s="254">
        <v>1</v>
      </c>
      <c r="N7" s="260" t="s">
        <v>402</v>
      </c>
    </row>
    <row r="8" spans="2:14" x14ac:dyDescent="0.3">
      <c r="B8" s="256" t="s">
        <v>310</v>
      </c>
      <c r="C8" s="1" t="s">
        <v>400</v>
      </c>
      <c r="D8" s="82" t="s">
        <v>400</v>
      </c>
      <c r="E8" s="258" t="s">
        <v>402</v>
      </c>
      <c r="F8" s="346" t="s">
        <v>400</v>
      </c>
      <c r="G8" s="7" t="s">
        <v>403</v>
      </c>
      <c r="H8" s="4" t="s">
        <v>403</v>
      </c>
      <c r="I8" s="4" t="s">
        <v>403</v>
      </c>
      <c r="J8" s="4">
        <v>1</v>
      </c>
      <c r="K8" s="4" t="s">
        <v>403</v>
      </c>
      <c r="L8" s="4" t="s">
        <v>403</v>
      </c>
      <c r="M8" s="254">
        <v>1</v>
      </c>
      <c r="N8" s="260" t="s">
        <v>402</v>
      </c>
    </row>
    <row r="9" spans="2:14" x14ac:dyDescent="0.3">
      <c r="B9" s="256" t="s">
        <v>311</v>
      </c>
      <c r="C9" s="1" t="s">
        <v>400</v>
      </c>
      <c r="D9" s="82" t="s">
        <v>400</v>
      </c>
      <c r="E9" s="258" t="s">
        <v>402</v>
      </c>
      <c r="F9" s="346" t="s">
        <v>400</v>
      </c>
      <c r="G9" s="7" t="s">
        <v>403</v>
      </c>
      <c r="H9" s="4" t="s">
        <v>403</v>
      </c>
      <c r="I9" s="4" t="s">
        <v>403</v>
      </c>
      <c r="J9" s="4">
        <v>1</v>
      </c>
      <c r="K9" s="4" t="s">
        <v>403</v>
      </c>
      <c r="L9" s="4" t="s">
        <v>403</v>
      </c>
      <c r="M9" s="254">
        <v>1</v>
      </c>
      <c r="N9" s="260" t="s">
        <v>402</v>
      </c>
    </row>
    <row r="10" spans="2:14" ht="28.8" customHeight="1" x14ac:dyDescent="0.3">
      <c r="B10" s="256" t="s">
        <v>312</v>
      </c>
      <c r="C10" s="1" t="s">
        <v>400</v>
      </c>
      <c r="D10" s="82" t="s">
        <v>400</v>
      </c>
      <c r="E10" s="258" t="s">
        <v>404</v>
      </c>
      <c r="F10" s="263" t="s">
        <v>403</v>
      </c>
      <c r="G10" s="7" t="s">
        <v>403</v>
      </c>
      <c r="H10" s="4" t="s">
        <v>403</v>
      </c>
      <c r="I10" s="4" t="s">
        <v>403</v>
      </c>
      <c r="J10" s="4">
        <v>1</v>
      </c>
      <c r="K10" s="4" t="s">
        <v>403</v>
      </c>
      <c r="L10" s="4" t="s">
        <v>403</v>
      </c>
      <c r="M10" s="254" t="s">
        <v>403</v>
      </c>
      <c r="N10" s="260" t="s">
        <v>405</v>
      </c>
    </row>
    <row r="11" spans="2:14" x14ac:dyDescent="0.3">
      <c r="B11" s="256" t="s">
        <v>314</v>
      </c>
      <c r="C11" s="1" t="s">
        <v>400</v>
      </c>
      <c r="D11" s="82" t="s">
        <v>400</v>
      </c>
      <c r="E11" s="258" t="s">
        <v>402</v>
      </c>
      <c r="F11" s="346" t="s">
        <v>400</v>
      </c>
      <c r="G11" s="7" t="s">
        <v>403</v>
      </c>
      <c r="H11" s="4" t="s">
        <v>403</v>
      </c>
      <c r="I11" s="4" t="s">
        <v>403</v>
      </c>
      <c r="J11" s="4">
        <v>1</v>
      </c>
      <c r="K11" s="4" t="s">
        <v>403</v>
      </c>
      <c r="L11" s="4" t="s">
        <v>403</v>
      </c>
      <c r="M11" s="254" t="s">
        <v>403</v>
      </c>
      <c r="N11" s="260" t="s">
        <v>402</v>
      </c>
    </row>
    <row r="12" spans="2:14" ht="28.8" customHeight="1" x14ac:dyDescent="0.3">
      <c r="B12" s="256" t="s">
        <v>315</v>
      </c>
      <c r="C12" s="1" t="s">
        <v>400</v>
      </c>
      <c r="D12" s="82" t="s">
        <v>400</v>
      </c>
      <c r="E12" s="258" t="s">
        <v>404</v>
      </c>
      <c r="F12" s="263" t="s">
        <v>403</v>
      </c>
      <c r="G12" s="7" t="s">
        <v>403</v>
      </c>
      <c r="H12" s="4" t="s">
        <v>403</v>
      </c>
      <c r="I12" s="4" t="s">
        <v>403</v>
      </c>
      <c r="J12" s="4">
        <v>1</v>
      </c>
      <c r="K12" s="4" t="s">
        <v>403</v>
      </c>
      <c r="L12" s="4" t="s">
        <v>403</v>
      </c>
      <c r="M12" s="254" t="s">
        <v>403</v>
      </c>
      <c r="N12" s="260" t="s">
        <v>405</v>
      </c>
    </row>
    <row r="13" spans="2:14" ht="28.8" customHeight="1" x14ac:dyDescent="0.3">
      <c r="B13" s="256" t="s">
        <v>316</v>
      </c>
      <c r="C13" s="1" t="s">
        <v>400</v>
      </c>
      <c r="D13" s="82" t="s">
        <v>400</v>
      </c>
      <c r="E13" s="258" t="s">
        <v>404</v>
      </c>
      <c r="F13" s="263" t="s">
        <v>403</v>
      </c>
      <c r="G13" s="7" t="s">
        <v>403</v>
      </c>
      <c r="H13" s="4" t="s">
        <v>403</v>
      </c>
      <c r="I13" s="4" t="s">
        <v>403</v>
      </c>
      <c r="J13" s="4">
        <v>1</v>
      </c>
      <c r="K13" s="4" t="s">
        <v>403</v>
      </c>
      <c r="L13" s="4" t="s">
        <v>403</v>
      </c>
      <c r="M13" s="254" t="s">
        <v>403</v>
      </c>
      <c r="N13" s="260" t="s">
        <v>405</v>
      </c>
    </row>
    <row r="14" spans="2:14" ht="28.8" customHeight="1" x14ac:dyDescent="0.3">
      <c r="B14" s="256" t="s">
        <v>317</v>
      </c>
      <c r="C14" s="1" t="s">
        <v>400</v>
      </c>
      <c r="D14" s="82" t="s">
        <v>400</v>
      </c>
      <c r="E14" s="258" t="s">
        <v>404</v>
      </c>
      <c r="F14" s="263" t="s">
        <v>403</v>
      </c>
      <c r="G14" s="7" t="s">
        <v>403</v>
      </c>
      <c r="H14" s="4" t="s">
        <v>403</v>
      </c>
      <c r="I14" s="4" t="s">
        <v>403</v>
      </c>
      <c r="J14" s="4">
        <v>1</v>
      </c>
      <c r="K14" s="4" t="s">
        <v>403</v>
      </c>
      <c r="L14" s="4" t="s">
        <v>403</v>
      </c>
      <c r="M14" s="254" t="s">
        <v>403</v>
      </c>
      <c r="N14" s="260" t="s">
        <v>405</v>
      </c>
    </row>
    <row r="15" spans="2:14" x14ac:dyDescent="0.3">
      <c r="B15" s="256" t="s">
        <v>318</v>
      </c>
      <c r="C15" s="1" t="s">
        <v>400</v>
      </c>
      <c r="D15" s="82" t="s">
        <v>400</v>
      </c>
      <c r="E15" s="258" t="s">
        <v>406</v>
      </c>
      <c r="F15" s="263" t="s">
        <v>403</v>
      </c>
      <c r="G15" s="7" t="s">
        <v>403</v>
      </c>
      <c r="H15" s="4" t="s">
        <v>403</v>
      </c>
      <c r="I15" s="4" t="s">
        <v>403</v>
      </c>
      <c r="J15" s="4">
        <v>1</v>
      </c>
      <c r="K15" s="4" t="s">
        <v>403</v>
      </c>
      <c r="L15" s="4" t="s">
        <v>403</v>
      </c>
      <c r="M15" s="254" t="s">
        <v>403</v>
      </c>
      <c r="N15" s="260" t="s">
        <v>407</v>
      </c>
    </row>
    <row r="16" spans="2:14" x14ac:dyDescent="0.3">
      <c r="B16" s="256" t="s">
        <v>319</v>
      </c>
      <c r="C16" s="1" t="s">
        <v>400</v>
      </c>
      <c r="D16" s="82" t="s">
        <v>400</v>
      </c>
      <c r="E16" s="258" t="s">
        <v>406</v>
      </c>
      <c r="F16" s="263" t="s">
        <v>403</v>
      </c>
      <c r="G16" s="7" t="s">
        <v>403</v>
      </c>
      <c r="H16" s="4" t="s">
        <v>403</v>
      </c>
      <c r="I16" s="4" t="s">
        <v>403</v>
      </c>
      <c r="J16" s="4">
        <v>1</v>
      </c>
      <c r="K16" s="4" t="s">
        <v>403</v>
      </c>
      <c r="L16" s="4" t="s">
        <v>403</v>
      </c>
      <c r="M16" s="254" t="s">
        <v>403</v>
      </c>
      <c r="N16" s="260" t="s">
        <v>407</v>
      </c>
    </row>
    <row r="17" spans="2:14" x14ac:dyDescent="0.3">
      <c r="B17" s="256" t="s">
        <v>320</v>
      </c>
      <c r="C17" s="7" t="s">
        <v>125</v>
      </c>
      <c r="D17" s="4" t="s">
        <v>408</v>
      </c>
      <c r="E17" s="254" t="s">
        <v>409</v>
      </c>
      <c r="F17" s="263" t="s">
        <v>398</v>
      </c>
      <c r="G17" s="7">
        <v>4</v>
      </c>
      <c r="H17" s="4">
        <v>7</v>
      </c>
      <c r="I17" s="4" t="s">
        <v>403</v>
      </c>
      <c r="J17" s="4" t="s">
        <v>403</v>
      </c>
      <c r="K17" s="4" t="s">
        <v>403</v>
      </c>
      <c r="L17" s="4">
        <v>10</v>
      </c>
      <c r="M17" s="254">
        <v>15</v>
      </c>
      <c r="N17" s="260" t="s">
        <v>410</v>
      </c>
    </row>
    <row r="18" spans="2:14" x14ac:dyDescent="0.3">
      <c r="B18" s="256" t="s">
        <v>321</v>
      </c>
      <c r="C18" s="7" t="s">
        <v>125</v>
      </c>
      <c r="D18" s="4" t="s">
        <v>408</v>
      </c>
      <c r="E18" s="254" t="s">
        <v>321</v>
      </c>
      <c r="F18" s="263" t="s">
        <v>398</v>
      </c>
      <c r="G18" s="7">
        <v>10</v>
      </c>
      <c r="H18" s="4">
        <v>15</v>
      </c>
      <c r="I18" s="4" t="s">
        <v>403</v>
      </c>
      <c r="J18" s="4" t="s">
        <v>403</v>
      </c>
      <c r="K18" s="4" t="s">
        <v>403</v>
      </c>
      <c r="L18" s="4">
        <v>10</v>
      </c>
      <c r="M18" s="254">
        <v>15</v>
      </c>
      <c r="N18" s="260" t="s">
        <v>411</v>
      </c>
    </row>
    <row r="19" spans="2:14" x14ac:dyDescent="0.3">
      <c r="B19" s="256" t="s">
        <v>322</v>
      </c>
      <c r="C19" s="7" t="s">
        <v>125</v>
      </c>
      <c r="D19" s="4" t="s">
        <v>408</v>
      </c>
      <c r="E19" s="254" t="s">
        <v>322</v>
      </c>
      <c r="F19" s="263" t="s">
        <v>398</v>
      </c>
      <c r="G19" s="7">
        <v>5</v>
      </c>
      <c r="H19" s="4">
        <v>10</v>
      </c>
      <c r="I19" s="4" t="s">
        <v>403</v>
      </c>
      <c r="J19" s="4" t="s">
        <v>403</v>
      </c>
      <c r="K19" s="4" t="s">
        <v>403</v>
      </c>
      <c r="L19" s="4">
        <v>10</v>
      </c>
      <c r="M19" s="254">
        <v>15</v>
      </c>
      <c r="N19" s="260" t="s">
        <v>411</v>
      </c>
    </row>
    <row r="20" spans="2:14" x14ac:dyDescent="0.3">
      <c r="B20" s="256" t="s">
        <v>323</v>
      </c>
      <c r="C20" s="7" t="s">
        <v>125</v>
      </c>
      <c r="D20" s="4" t="s">
        <v>408</v>
      </c>
      <c r="E20" s="254" t="s">
        <v>323</v>
      </c>
      <c r="F20" s="263" t="s">
        <v>398</v>
      </c>
      <c r="G20" s="7">
        <v>10</v>
      </c>
      <c r="H20" s="4">
        <v>15</v>
      </c>
      <c r="I20" s="4" t="s">
        <v>403</v>
      </c>
      <c r="J20" s="4" t="s">
        <v>403</v>
      </c>
      <c r="K20" s="4" t="s">
        <v>403</v>
      </c>
      <c r="L20" s="4">
        <v>10</v>
      </c>
      <c r="M20" s="254">
        <v>15</v>
      </c>
      <c r="N20" s="260" t="s">
        <v>411</v>
      </c>
    </row>
    <row r="21" spans="2:14" x14ac:dyDescent="0.3">
      <c r="B21" s="256" t="s">
        <v>324</v>
      </c>
      <c r="C21" s="7" t="s">
        <v>125</v>
      </c>
      <c r="D21" s="4" t="s">
        <v>408</v>
      </c>
      <c r="E21" s="254" t="s">
        <v>324</v>
      </c>
      <c r="F21" s="263" t="s">
        <v>398</v>
      </c>
      <c r="G21" s="7">
        <v>5</v>
      </c>
      <c r="H21" s="4">
        <v>10</v>
      </c>
      <c r="I21" s="4" t="s">
        <v>403</v>
      </c>
      <c r="J21" s="4" t="s">
        <v>403</v>
      </c>
      <c r="K21" s="4" t="s">
        <v>403</v>
      </c>
      <c r="L21" s="4">
        <v>3</v>
      </c>
      <c r="M21" s="254">
        <v>10</v>
      </c>
      <c r="N21" s="260" t="s">
        <v>411</v>
      </c>
    </row>
    <row r="22" spans="2:14" ht="28.8" customHeight="1" x14ac:dyDescent="0.3">
      <c r="B22" s="256" t="s">
        <v>325</v>
      </c>
      <c r="C22" s="1" t="s">
        <v>400</v>
      </c>
      <c r="D22" s="82" t="s">
        <v>400</v>
      </c>
      <c r="E22" s="254" t="s">
        <v>412</v>
      </c>
      <c r="F22" s="263" t="s">
        <v>403</v>
      </c>
      <c r="G22" s="7" t="s">
        <v>403</v>
      </c>
      <c r="H22" s="4" t="s">
        <v>403</v>
      </c>
      <c r="I22" s="4" t="s">
        <v>403</v>
      </c>
      <c r="J22" s="4">
        <v>1</v>
      </c>
      <c r="K22" s="4" t="s">
        <v>403</v>
      </c>
      <c r="L22" s="4" t="s">
        <v>403</v>
      </c>
      <c r="M22" s="254" t="s">
        <v>403</v>
      </c>
      <c r="N22" s="260" t="s">
        <v>413</v>
      </c>
    </row>
    <row r="23" spans="2:14" x14ac:dyDescent="0.3">
      <c r="B23" s="256" t="s">
        <v>326</v>
      </c>
      <c r="C23" s="7" t="s">
        <v>125</v>
      </c>
      <c r="D23" s="4" t="s">
        <v>408</v>
      </c>
      <c r="E23" s="254" t="s">
        <v>326</v>
      </c>
      <c r="F23" s="263" t="s">
        <v>398</v>
      </c>
      <c r="G23" s="7">
        <v>5</v>
      </c>
      <c r="H23" s="4">
        <v>10</v>
      </c>
      <c r="I23" s="4" t="s">
        <v>403</v>
      </c>
      <c r="J23" s="4" t="s">
        <v>403</v>
      </c>
      <c r="K23" s="4" t="s">
        <v>403</v>
      </c>
      <c r="L23" s="4">
        <v>3</v>
      </c>
      <c r="M23" s="254">
        <v>10</v>
      </c>
      <c r="N23" s="260" t="s">
        <v>411</v>
      </c>
    </row>
    <row r="24" spans="2:14" x14ac:dyDescent="0.3">
      <c r="B24" s="256" t="s">
        <v>327</v>
      </c>
      <c r="C24" s="7" t="s">
        <v>125</v>
      </c>
      <c r="D24" s="4" t="s">
        <v>408</v>
      </c>
      <c r="E24" s="254" t="s">
        <v>327</v>
      </c>
      <c r="F24" s="263" t="s">
        <v>398</v>
      </c>
      <c r="G24" s="7">
        <v>5</v>
      </c>
      <c r="H24" s="4">
        <v>10</v>
      </c>
      <c r="I24" s="4" t="s">
        <v>403</v>
      </c>
      <c r="J24" s="4" t="s">
        <v>403</v>
      </c>
      <c r="K24" s="4" t="s">
        <v>403</v>
      </c>
      <c r="L24" s="4">
        <v>3</v>
      </c>
      <c r="M24" s="254">
        <v>10</v>
      </c>
      <c r="N24" s="260" t="s">
        <v>411</v>
      </c>
    </row>
    <row r="25" spans="2:14" x14ac:dyDescent="0.3">
      <c r="B25" s="256" t="s">
        <v>328</v>
      </c>
      <c r="C25" s="7" t="s">
        <v>125</v>
      </c>
      <c r="D25" s="4" t="s">
        <v>408</v>
      </c>
      <c r="E25" s="254" t="s">
        <v>328</v>
      </c>
      <c r="F25" s="263" t="s">
        <v>398</v>
      </c>
      <c r="G25" s="7">
        <v>10</v>
      </c>
      <c r="H25" s="4">
        <v>15</v>
      </c>
      <c r="I25" s="4" t="s">
        <v>403</v>
      </c>
      <c r="J25" s="4" t="s">
        <v>403</v>
      </c>
      <c r="K25" s="4" t="s">
        <v>403</v>
      </c>
      <c r="L25" s="4">
        <v>7</v>
      </c>
      <c r="M25" s="254">
        <v>15</v>
      </c>
      <c r="N25" s="260" t="s">
        <v>411</v>
      </c>
    </row>
    <row r="26" spans="2:14" x14ac:dyDescent="0.3">
      <c r="B26" s="256" t="s">
        <v>329</v>
      </c>
      <c r="C26" s="7" t="s">
        <v>125</v>
      </c>
      <c r="D26" s="4" t="s">
        <v>408</v>
      </c>
      <c r="E26" s="254" t="s">
        <v>329</v>
      </c>
      <c r="F26" s="263" t="s">
        <v>398</v>
      </c>
      <c r="G26" s="7">
        <v>5</v>
      </c>
      <c r="H26" s="4">
        <v>10</v>
      </c>
      <c r="I26" s="4" t="s">
        <v>403</v>
      </c>
      <c r="J26" s="4" t="s">
        <v>403</v>
      </c>
      <c r="K26" s="4" t="s">
        <v>403</v>
      </c>
      <c r="L26" s="4">
        <v>3</v>
      </c>
      <c r="M26" s="254">
        <v>10</v>
      </c>
      <c r="N26" s="260" t="s">
        <v>411</v>
      </c>
    </row>
    <row r="27" spans="2:14" ht="28.8" customHeight="1" x14ac:dyDescent="0.3">
      <c r="B27" s="256" t="s">
        <v>330</v>
      </c>
      <c r="C27" s="1" t="s">
        <v>400</v>
      </c>
      <c r="D27" s="82" t="s">
        <v>400</v>
      </c>
      <c r="E27" s="254" t="s">
        <v>412</v>
      </c>
      <c r="F27" s="263" t="s">
        <v>403</v>
      </c>
      <c r="G27" s="7" t="s">
        <v>403</v>
      </c>
      <c r="H27" s="4" t="s">
        <v>403</v>
      </c>
      <c r="I27" s="4" t="s">
        <v>403</v>
      </c>
      <c r="J27" s="4">
        <v>1</v>
      </c>
      <c r="K27" s="4" t="s">
        <v>403</v>
      </c>
      <c r="L27" s="4" t="s">
        <v>403</v>
      </c>
      <c r="M27" s="254" t="s">
        <v>403</v>
      </c>
      <c r="N27" s="260" t="s">
        <v>413</v>
      </c>
    </row>
    <row r="28" spans="2:14" ht="28.8" customHeight="1" x14ac:dyDescent="0.3">
      <c r="B28" s="256" t="s">
        <v>331</v>
      </c>
      <c r="C28" s="1" t="s">
        <v>400</v>
      </c>
      <c r="D28" s="82" t="s">
        <v>400</v>
      </c>
      <c r="E28" s="254" t="s">
        <v>412</v>
      </c>
      <c r="F28" s="263" t="s">
        <v>403</v>
      </c>
      <c r="G28" s="7" t="s">
        <v>403</v>
      </c>
      <c r="H28" s="4" t="s">
        <v>403</v>
      </c>
      <c r="I28" s="4" t="s">
        <v>403</v>
      </c>
      <c r="J28" s="4">
        <v>1</v>
      </c>
      <c r="K28" s="4" t="s">
        <v>403</v>
      </c>
      <c r="L28" s="4" t="s">
        <v>403</v>
      </c>
      <c r="M28" s="254" t="s">
        <v>403</v>
      </c>
      <c r="N28" s="260" t="s">
        <v>413</v>
      </c>
    </row>
    <row r="29" spans="2:14" x14ac:dyDescent="0.3">
      <c r="B29" s="256" t="s">
        <v>332</v>
      </c>
      <c r="C29" s="7" t="s">
        <v>125</v>
      </c>
      <c r="D29" s="4" t="s">
        <v>408</v>
      </c>
      <c r="E29" s="254" t="s">
        <v>332</v>
      </c>
      <c r="F29" s="263" t="s">
        <v>398</v>
      </c>
      <c r="G29" s="7">
        <v>10</v>
      </c>
      <c r="H29" s="4">
        <v>15</v>
      </c>
      <c r="I29" s="4" t="s">
        <v>403</v>
      </c>
      <c r="J29" s="4" t="s">
        <v>403</v>
      </c>
      <c r="K29" s="4" t="s">
        <v>403</v>
      </c>
      <c r="L29" s="4">
        <v>7</v>
      </c>
      <c r="M29" s="254">
        <v>15</v>
      </c>
      <c r="N29" s="260" t="s">
        <v>411</v>
      </c>
    </row>
    <row r="30" spans="2:14" x14ac:dyDescent="0.3">
      <c r="B30" s="256" t="s">
        <v>333</v>
      </c>
      <c r="C30" s="7" t="s">
        <v>125</v>
      </c>
      <c r="D30" s="4" t="s">
        <v>408</v>
      </c>
      <c r="E30" s="254" t="s">
        <v>414</v>
      </c>
      <c r="F30" s="263" t="s">
        <v>398</v>
      </c>
      <c r="G30" s="7">
        <v>3</v>
      </c>
      <c r="H30" s="4">
        <v>5</v>
      </c>
      <c r="I30" s="4" t="s">
        <v>403</v>
      </c>
      <c r="J30" s="4" t="s">
        <v>403</v>
      </c>
      <c r="K30" s="4" t="s">
        <v>403</v>
      </c>
      <c r="L30" s="4">
        <v>4</v>
      </c>
      <c r="M30" s="254">
        <v>5</v>
      </c>
      <c r="N30" s="260" t="s">
        <v>415</v>
      </c>
    </row>
    <row r="31" spans="2:14" x14ac:dyDescent="0.3">
      <c r="B31" s="256" t="s">
        <v>335</v>
      </c>
      <c r="C31" s="7" t="s">
        <v>125</v>
      </c>
      <c r="D31" s="4" t="s">
        <v>408</v>
      </c>
      <c r="E31" s="254" t="s">
        <v>335</v>
      </c>
      <c r="F31" s="263" t="s">
        <v>398</v>
      </c>
      <c r="G31" s="7">
        <v>3</v>
      </c>
      <c r="H31" s="4">
        <v>5</v>
      </c>
      <c r="I31" s="4" t="s">
        <v>403</v>
      </c>
      <c r="J31" s="4" t="s">
        <v>403</v>
      </c>
      <c r="K31" s="4" t="s">
        <v>403</v>
      </c>
      <c r="L31" s="4">
        <v>4</v>
      </c>
      <c r="M31" s="254">
        <v>5</v>
      </c>
      <c r="N31" s="260" t="s">
        <v>411</v>
      </c>
    </row>
    <row r="32" spans="2:14" x14ac:dyDescent="0.3">
      <c r="B32" s="256" t="s">
        <v>336</v>
      </c>
      <c r="C32" s="7" t="s">
        <v>125</v>
      </c>
      <c r="D32" s="4" t="s">
        <v>408</v>
      </c>
      <c r="E32" s="254" t="s">
        <v>336</v>
      </c>
      <c r="F32" s="263" t="s">
        <v>398</v>
      </c>
      <c r="G32" s="7">
        <v>5</v>
      </c>
      <c r="H32" s="4">
        <v>10</v>
      </c>
      <c r="I32" s="4" t="s">
        <v>403</v>
      </c>
      <c r="J32" s="4" t="s">
        <v>403</v>
      </c>
      <c r="K32" s="4" t="s">
        <v>403</v>
      </c>
      <c r="L32" s="4">
        <v>20</v>
      </c>
      <c r="M32" s="254">
        <v>10</v>
      </c>
      <c r="N32" s="260" t="s">
        <v>411</v>
      </c>
    </row>
    <row r="33" spans="2:14" x14ac:dyDescent="0.3">
      <c r="B33" s="256" t="s">
        <v>337</v>
      </c>
      <c r="C33" s="7" t="s">
        <v>125</v>
      </c>
      <c r="D33" s="4" t="s">
        <v>408</v>
      </c>
      <c r="E33" s="254" t="s">
        <v>337</v>
      </c>
      <c r="F33" s="263" t="s">
        <v>398</v>
      </c>
      <c r="G33" s="7">
        <v>3</v>
      </c>
      <c r="H33" s="4">
        <v>5</v>
      </c>
      <c r="I33" s="4" t="s">
        <v>403</v>
      </c>
      <c r="J33" s="4" t="s">
        <v>403</v>
      </c>
      <c r="K33" s="4" t="s">
        <v>403</v>
      </c>
      <c r="L33" s="4">
        <v>2</v>
      </c>
      <c r="M33" s="254" t="s">
        <v>403</v>
      </c>
      <c r="N33" s="260" t="s">
        <v>411</v>
      </c>
    </row>
    <row r="34" spans="2:14" x14ac:dyDescent="0.3">
      <c r="B34" s="256" t="s">
        <v>338</v>
      </c>
      <c r="C34" s="7" t="s">
        <v>125</v>
      </c>
      <c r="D34" s="4" t="s">
        <v>408</v>
      </c>
      <c r="E34" s="254" t="s">
        <v>338</v>
      </c>
      <c r="F34" s="263" t="s">
        <v>398</v>
      </c>
      <c r="G34" s="7">
        <v>10</v>
      </c>
      <c r="H34" s="4">
        <v>20</v>
      </c>
      <c r="I34" s="4" t="s">
        <v>403</v>
      </c>
      <c r="J34" s="4" t="s">
        <v>403</v>
      </c>
      <c r="K34" s="4" t="s">
        <v>403</v>
      </c>
      <c r="L34" s="4">
        <v>10</v>
      </c>
      <c r="M34" s="254">
        <v>20</v>
      </c>
      <c r="N34" s="260" t="s">
        <v>411</v>
      </c>
    </row>
    <row r="35" spans="2:14" x14ac:dyDescent="0.3">
      <c r="B35" s="256" t="s">
        <v>339</v>
      </c>
      <c r="C35" s="7" t="s">
        <v>125</v>
      </c>
      <c r="D35" s="4" t="s">
        <v>408</v>
      </c>
      <c r="E35" s="256" t="s">
        <v>339</v>
      </c>
      <c r="F35" s="263" t="s">
        <v>398</v>
      </c>
      <c r="G35" s="7">
        <v>3</v>
      </c>
      <c r="H35" s="4">
        <v>5</v>
      </c>
      <c r="I35" s="4" t="s">
        <v>403</v>
      </c>
      <c r="J35" s="4" t="s">
        <v>403</v>
      </c>
      <c r="K35" s="4" t="s">
        <v>403</v>
      </c>
      <c r="L35" s="4">
        <v>2</v>
      </c>
      <c r="M35" s="254" t="s">
        <v>403</v>
      </c>
      <c r="N35" s="260" t="s">
        <v>411</v>
      </c>
    </row>
    <row r="36" spans="2:14" x14ac:dyDescent="0.3">
      <c r="B36" s="256" t="s">
        <v>340</v>
      </c>
      <c r="C36" s="7" t="s">
        <v>125</v>
      </c>
      <c r="D36" s="4" t="s">
        <v>408</v>
      </c>
      <c r="E36" s="254" t="s">
        <v>340</v>
      </c>
      <c r="F36" s="263" t="s">
        <v>398</v>
      </c>
      <c r="G36" s="7">
        <v>1</v>
      </c>
      <c r="H36" s="4">
        <v>1</v>
      </c>
      <c r="I36" s="4" t="s">
        <v>403</v>
      </c>
      <c r="J36" s="4" t="s">
        <v>403</v>
      </c>
      <c r="K36" s="4" t="s">
        <v>403</v>
      </c>
      <c r="L36" s="4">
        <v>1</v>
      </c>
      <c r="M36" s="254">
        <v>1</v>
      </c>
      <c r="N36" s="260" t="s">
        <v>411</v>
      </c>
    </row>
    <row r="37" spans="2:14" x14ac:dyDescent="0.3">
      <c r="B37" s="256" t="s">
        <v>341</v>
      </c>
      <c r="C37" s="7" t="s">
        <v>401</v>
      </c>
      <c r="D37" s="4" t="s">
        <v>401</v>
      </c>
      <c r="E37" s="258" t="s">
        <v>402</v>
      </c>
      <c r="F37" s="263" t="s">
        <v>403</v>
      </c>
      <c r="G37" s="7" t="s">
        <v>403</v>
      </c>
      <c r="H37" s="4" t="s">
        <v>403</v>
      </c>
      <c r="I37" s="4" t="s">
        <v>403</v>
      </c>
      <c r="J37" s="4" t="s">
        <v>403</v>
      </c>
      <c r="K37" s="4">
        <v>0</v>
      </c>
      <c r="L37" s="4" t="s">
        <v>403</v>
      </c>
      <c r="M37" s="254" t="s">
        <v>403</v>
      </c>
      <c r="N37" s="260" t="s">
        <v>402</v>
      </c>
    </row>
    <row r="38" spans="2:14" x14ac:dyDescent="0.3">
      <c r="B38" s="256" t="s">
        <v>344</v>
      </c>
      <c r="C38" s="7" t="s">
        <v>125</v>
      </c>
      <c r="D38" s="4" t="s">
        <v>408</v>
      </c>
      <c r="E38" s="254" t="s">
        <v>344</v>
      </c>
      <c r="F38" s="263" t="s">
        <v>398</v>
      </c>
      <c r="G38" s="7">
        <v>1</v>
      </c>
      <c r="H38" s="4">
        <v>3</v>
      </c>
      <c r="I38" s="4" t="s">
        <v>403</v>
      </c>
      <c r="J38" s="4" t="s">
        <v>403</v>
      </c>
      <c r="K38" s="4" t="s">
        <v>403</v>
      </c>
      <c r="L38" s="4">
        <v>2</v>
      </c>
      <c r="M38" s="254">
        <v>3</v>
      </c>
      <c r="N38" s="260" t="s">
        <v>411</v>
      </c>
    </row>
    <row r="39" spans="2:14" x14ac:dyDescent="0.3">
      <c r="B39" s="256" t="s">
        <v>345</v>
      </c>
      <c r="C39" s="7" t="s">
        <v>125</v>
      </c>
      <c r="D39" s="4" t="s">
        <v>408</v>
      </c>
      <c r="E39" s="254" t="s">
        <v>345</v>
      </c>
      <c r="F39" s="263" t="s">
        <v>398</v>
      </c>
      <c r="G39" s="7">
        <v>5</v>
      </c>
      <c r="H39" s="4">
        <v>10</v>
      </c>
      <c r="I39" s="4" t="s">
        <v>403</v>
      </c>
      <c r="J39" s="4" t="s">
        <v>403</v>
      </c>
      <c r="K39" s="4" t="s">
        <v>403</v>
      </c>
      <c r="L39" s="4">
        <v>5</v>
      </c>
      <c r="M39" s="254">
        <v>10</v>
      </c>
      <c r="N39" s="260" t="s">
        <v>411</v>
      </c>
    </row>
    <row r="40" spans="2:14" x14ac:dyDescent="0.3">
      <c r="B40" s="256" t="s">
        <v>346</v>
      </c>
      <c r="C40" s="7" t="s">
        <v>401</v>
      </c>
      <c r="D40" s="4" t="s">
        <v>401</v>
      </c>
      <c r="E40" s="258" t="s">
        <v>402</v>
      </c>
      <c r="F40" s="263" t="s">
        <v>403</v>
      </c>
      <c r="G40" s="7" t="s">
        <v>403</v>
      </c>
      <c r="H40" s="4" t="s">
        <v>403</v>
      </c>
      <c r="I40" s="4" t="s">
        <v>403</v>
      </c>
      <c r="J40" s="4" t="s">
        <v>403</v>
      </c>
      <c r="K40" s="4">
        <v>0</v>
      </c>
      <c r="L40" s="4" t="s">
        <v>403</v>
      </c>
      <c r="M40" s="254" t="s">
        <v>403</v>
      </c>
      <c r="N40" s="260" t="s">
        <v>402</v>
      </c>
    </row>
    <row r="41" spans="2:14" x14ac:dyDescent="0.3">
      <c r="B41" s="256" t="s">
        <v>347</v>
      </c>
      <c r="C41" s="7" t="s">
        <v>125</v>
      </c>
      <c r="D41" s="4" t="s">
        <v>408</v>
      </c>
      <c r="E41" s="254" t="s">
        <v>347</v>
      </c>
      <c r="F41" s="263" t="s">
        <v>398</v>
      </c>
      <c r="G41" s="7">
        <v>15</v>
      </c>
      <c r="H41" s="4">
        <v>20</v>
      </c>
      <c r="I41" s="4" t="s">
        <v>403</v>
      </c>
      <c r="J41" s="4" t="s">
        <v>403</v>
      </c>
      <c r="K41" s="4" t="s">
        <v>403</v>
      </c>
      <c r="L41" s="4">
        <v>15</v>
      </c>
      <c r="M41" s="254">
        <v>20</v>
      </c>
      <c r="N41" s="260" t="s">
        <v>411</v>
      </c>
    </row>
    <row r="42" spans="2:14" x14ac:dyDescent="0.3">
      <c r="B42" s="256" t="s">
        <v>348</v>
      </c>
      <c r="C42" s="7" t="s">
        <v>401</v>
      </c>
      <c r="D42" s="4" t="s">
        <v>401</v>
      </c>
      <c r="E42" s="258" t="s">
        <v>402</v>
      </c>
      <c r="F42" s="263" t="s">
        <v>403</v>
      </c>
      <c r="G42" s="7" t="s">
        <v>403</v>
      </c>
      <c r="H42" s="4" t="s">
        <v>403</v>
      </c>
      <c r="I42" s="4" t="s">
        <v>403</v>
      </c>
      <c r="J42" s="4" t="s">
        <v>403</v>
      </c>
      <c r="K42" s="4">
        <v>0</v>
      </c>
      <c r="L42" s="4" t="s">
        <v>403</v>
      </c>
      <c r="M42" s="254" t="s">
        <v>403</v>
      </c>
      <c r="N42" s="260" t="s">
        <v>402</v>
      </c>
    </row>
    <row r="43" spans="2:14" x14ac:dyDescent="0.3">
      <c r="B43" s="256" t="s">
        <v>353</v>
      </c>
      <c r="C43" s="1" t="s">
        <v>400</v>
      </c>
      <c r="D43" s="82" t="s">
        <v>400</v>
      </c>
      <c r="E43" s="254" t="s">
        <v>345</v>
      </c>
      <c r="F43" s="263" t="s">
        <v>403</v>
      </c>
      <c r="G43" s="7" t="s">
        <v>403</v>
      </c>
      <c r="H43" s="4" t="s">
        <v>403</v>
      </c>
      <c r="I43" s="4" t="s">
        <v>403</v>
      </c>
      <c r="J43" s="4">
        <v>1</v>
      </c>
      <c r="K43" s="4" t="s">
        <v>403</v>
      </c>
      <c r="L43" s="4" t="s">
        <v>403</v>
      </c>
      <c r="M43" s="4" t="s">
        <v>403</v>
      </c>
      <c r="N43" s="260" t="s">
        <v>416</v>
      </c>
    </row>
    <row r="44" spans="2:14" x14ac:dyDescent="0.3">
      <c r="B44" s="256" t="s">
        <v>350</v>
      </c>
      <c r="C44" s="7" t="s">
        <v>125</v>
      </c>
      <c r="D44" s="4" t="s">
        <v>408</v>
      </c>
      <c r="E44" s="254" t="s">
        <v>350</v>
      </c>
      <c r="F44" s="263" t="s">
        <v>398</v>
      </c>
      <c r="G44" s="7">
        <v>3</v>
      </c>
      <c r="H44" s="4">
        <v>5</v>
      </c>
      <c r="I44" s="4" t="s">
        <v>403</v>
      </c>
      <c r="J44" s="4" t="s">
        <v>403</v>
      </c>
      <c r="K44" s="4" t="s">
        <v>403</v>
      </c>
      <c r="L44" s="4">
        <v>2</v>
      </c>
      <c r="M44" s="254">
        <v>5</v>
      </c>
      <c r="N44" s="260" t="s">
        <v>411</v>
      </c>
    </row>
    <row r="45" spans="2:14" x14ac:dyDescent="0.3">
      <c r="B45" s="256" t="s">
        <v>351</v>
      </c>
      <c r="C45" s="7" t="s">
        <v>125</v>
      </c>
      <c r="D45" s="4" t="s">
        <v>408</v>
      </c>
      <c r="E45" s="254" t="s">
        <v>351</v>
      </c>
      <c r="F45" s="263" t="s">
        <v>398</v>
      </c>
      <c r="G45" s="7">
        <v>3</v>
      </c>
      <c r="H45" s="4">
        <v>5</v>
      </c>
      <c r="I45" s="4" t="s">
        <v>403</v>
      </c>
      <c r="J45" s="4" t="s">
        <v>403</v>
      </c>
      <c r="K45" s="4" t="s">
        <v>403</v>
      </c>
      <c r="L45" s="4">
        <v>2</v>
      </c>
      <c r="M45" s="254">
        <v>5</v>
      </c>
      <c r="N45" s="260" t="s">
        <v>411</v>
      </c>
    </row>
    <row r="46" spans="2:14" x14ac:dyDescent="0.3">
      <c r="B46" s="256" t="s">
        <v>352</v>
      </c>
      <c r="C46" s="1" t="s">
        <v>400</v>
      </c>
      <c r="D46" s="82" t="s">
        <v>400</v>
      </c>
      <c r="E46" s="258" t="s">
        <v>402</v>
      </c>
      <c r="F46" s="263" t="s">
        <v>403</v>
      </c>
      <c r="G46" s="7" t="s">
        <v>403</v>
      </c>
      <c r="H46" s="4" t="s">
        <v>403</v>
      </c>
      <c r="I46" s="4" t="s">
        <v>403</v>
      </c>
      <c r="J46" s="4">
        <v>1</v>
      </c>
      <c r="K46" s="4" t="s">
        <v>403</v>
      </c>
      <c r="L46" s="4" t="s">
        <v>403</v>
      </c>
      <c r="M46" s="254" t="s">
        <v>403</v>
      </c>
      <c r="N46" s="260" t="s">
        <v>402</v>
      </c>
    </row>
    <row r="47" spans="2:14" x14ac:dyDescent="0.3">
      <c r="B47" s="256" t="s">
        <v>349</v>
      </c>
      <c r="C47" s="7" t="s">
        <v>125</v>
      </c>
      <c r="D47" s="4" t="s">
        <v>408</v>
      </c>
      <c r="E47" s="254" t="s">
        <v>417</v>
      </c>
      <c r="F47" s="263" t="s">
        <v>398</v>
      </c>
      <c r="G47" s="7">
        <v>3</v>
      </c>
      <c r="H47" s="4">
        <v>5</v>
      </c>
      <c r="I47" s="4" t="s">
        <v>403</v>
      </c>
      <c r="J47" s="4" t="s">
        <v>403</v>
      </c>
      <c r="K47" s="4" t="s">
        <v>403</v>
      </c>
      <c r="L47" s="4">
        <v>2</v>
      </c>
      <c r="M47" s="254">
        <v>10</v>
      </c>
      <c r="N47" s="260" t="s">
        <v>418</v>
      </c>
    </row>
    <row r="48" spans="2:14" x14ac:dyDescent="0.3">
      <c r="B48" s="256" t="s">
        <v>354</v>
      </c>
      <c r="C48" s="1" t="s">
        <v>400</v>
      </c>
      <c r="D48" s="82" t="s">
        <v>400</v>
      </c>
      <c r="E48" s="258" t="s">
        <v>402</v>
      </c>
      <c r="F48" s="263" t="s">
        <v>403</v>
      </c>
      <c r="G48" s="7" t="s">
        <v>403</v>
      </c>
      <c r="H48" s="4" t="s">
        <v>403</v>
      </c>
      <c r="I48" s="4" t="s">
        <v>403</v>
      </c>
      <c r="J48" s="4">
        <v>1</v>
      </c>
      <c r="K48" s="4" t="s">
        <v>403</v>
      </c>
      <c r="L48" s="4" t="s">
        <v>403</v>
      </c>
      <c r="M48" s="254" t="s">
        <v>403</v>
      </c>
      <c r="N48" s="260" t="s">
        <v>402</v>
      </c>
    </row>
    <row r="49" spans="2:14" x14ac:dyDescent="0.3">
      <c r="B49" s="256" t="s">
        <v>355</v>
      </c>
      <c r="C49" s="7" t="s">
        <v>125</v>
      </c>
      <c r="D49" s="4" t="s">
        <v>408</v>
      </c>
      <c r="E49" s="254" t="s">
        <v>355</v>
      </c>
      <c r="F49" s="263" t="s">
        <v>398</v>
      </c>
      <c r="G49" s="7">
        <v>3</v>
      </c>
      <c r="H49" s="4">
        <v>5</v>
      </c>
      <c r="I49" s="4" t="s">
        <v>403</v>
      </c>
      <c r="J49" s="4" t="s">
        <v>403</v>
      </c>
      <c r="K49" s="4" t="s">
        <v>403</v>
      </c>
      <c r="L49" s="4">
        <v>1</v>
      </c>
      <c r="M49" s="254">
        <v>1</v>
      </c>
      <c r="N49" s="260" t="s">
        <v>411</v>
      </c>
    </row>
    <row r="50" spans="2:14" x14ac:dyDescent="0.3">
      <c r="B50" s="256" t="s">
        <v>356</v>
      </c>
      <c r="C50" s="1" t="s">
        <v>400</v>
      </c>
      <c r="D50" s="82" t="s">
        <v>400</v>
      </c>
      <c r="E50" s="254" t="s">
        <v>338</v>
      </c>
      <c r="F50" s="263" t="s">
        <v>403</v>
      </c>
      <c r="G50" s="7" t="s">
        <v>403</v>
      </c>
      <c r="H50" s="4" t="s">
        <v>403</v>
      </c>
      <c r="I50" s="4" t="s">
        <v>403</v>
      </c>
      <c r="J50" s="4">
        <v>1</v>
      </c>
      <c r="K50" s="4" t="s">
        <v>403</v>
      </c>
      <c r="L50" s="4" t="s">
        <v>403</v>
      </c>
      <c r="M50" s="254" t="s">
        <v>403</v>
      </c>
      <c r="N50" s="260" t="s">
        <v>419</v>
      </c>
    </row>
    <row r="51" spans="2:14" x14ac:dyDescent="0.3">
      <c r="B51" s="256" t="s">
        <v>105</v>
      </c>
      <c r="C51" s="7" t="s">
        <v>125</v>
      </c>
      <c r="D51" s="4" t="s">
        <v>408</v>
      </c>
      <c r="E51" s="256" t="s">
        <v>105</v>
      </c>
      <c r="F51" s="263" t="s">
        <v>398</v>
      </c>
      <c r="G51" s="7">
        <v>27</v>
      </c>
      <c r="H51" s="4" t="s">
        <v>420</v>
      </c>
      <c r="I51" s="4" t="s">
        <v>403</v>
      </c>
      <c r="J51" s="4" t="s">
        <v>403</v>
      </c>
      <c r="K51" s="4" t="s">
        <v>403</v>
      </c>
      <c r="L51" s="4">
        <v>16</v>
      </c>
      <c r="M51" s="254" t="s">
        <v>403</v>
      </c>
      <c r="N51" s="260" t="s">
        <v>402</v>
      </c>
    </row>
    <row r="52" spans="2:14" x14ac:dyDescent="0.3">
      <c r="B52" s="256" t="s">
        <v>357</v>
      </c>
      <c r="C52" s="7" t="s">
        <v>125</v>
      </c>
      <c r="D52" s="4" t="s">
        <v>408</v>
      </c>
      <c r="E52" s="254" t="s">
        <v>357</v>
      </c>
      <c r="F52" s="263" t="s">
        <v>398</v>
      </c>
      <c r="G52" s="7">
        <v>3</v>
      </c>
      <c r="H52" s="4">
        <v>5</v>
      </c>
      <c r="I52" s="4" t="s">
        <v>403</v>
      </c>
      <c r="J52" s="4" t="s">
        <v>403</v>
      </c>
      <c r="K52" s="4" t="s">
        <v>403</v>
      </c>
      <c r="L52" s="4">
        <v>2</v>
      </c>
      <c r="M52" s="254">
        <v>5</v>
      </c>
      <c r="N52" s="260" t="s">
        <v>411</v>
      </c>
    </row>
    <row r="53" spans="2:14" x14ac:dyDescent="0.3">
      <c r="B53" s="256" t="s">
        <v>358</v>
      </c>
      <c r="C53" s="7" t="s">
        <v>401</v>
      </c>
      <c r="D53" s="4" t="s">
        <v>401</v>
      </c>
      <c r="E53" s="258" t="s">
        <v>402</v>
      </c>
      <c r="F53" s="263" t="s">
        <v>403</v>
      </c>
      <c r="G53" s="7" t="s">
        <v>403</v>
      </c>
      <c r="H53" s="4" t="s">
        <v>403</v>
      </c>
      <c r="I53" s="4" t="s">
        <v>403</v>
      </c>
      <c r="J53" s="4" t="s">
        <v>403</v>
      </c>
      <c r="K53" s="4">
        <v>0</v>
      </c>
      <c r="L53" s="4" t="s">
        <v>403</v>
      </c>
      <c r="M53" s="254" t="s">
        <v>403</v>
      </c>
      <c r="N53" s="260" t="s">
        <v>402</v>
      </c>
    </row>
    <row r="54" spans="2:14" x14ac:dyDescent="0.3">
      <c r="B54" s="256" t="s">
        <v>359</v>
      </c>
      <c r="C54" s="7" t="s">
        <v>125</v>
      </c>
      <c r="D54" s="4" t="s">
        <v>408</v>
      </c>
      <c r="E54" s="254" t="s">
        <v>359</v>
      </c>
      <c r="F54" s="263" t="s">
        <v>398</v>
      </c>
      <c r="G54" s="7">
        <v>3</v>
      </c>
      <c r="H54" s="4">
        <v>5</v>
      </c>
      <c r="I54" s="4" t="s">
        <v>403</v>
      </c>
      <c r="J54" s="4" t="s">
        <v>403</v>
      </c>
      <c r="K54" s="4" t="s">
        <v>403</v>
      </c>
      <c r="L54" s="4">
        <v>1</v>
      </c>
      <c r="M54" s="254">
        <v>1</v>
      </c>
      <c r="N54" s="260" t="s">
        <v>411</v>
      </c>
    </row>
    <row r="55" spans="2:14" x14ac:dyDescent="0.3">
      <c r="B55" s="256" t="s">
        <v>360</v>
      </c>
      <c r="C55" s="1" t="s">
        <v>400</v>
      </c>
      <c r="D55" s="82" t="s">
        <v>400</v>
      </c>
      <c r="E55" s="258" t="s">
        <v>402</v>
      </c>
      <c r="F55" s="263" t="s">
        <v>403</v>
      </c>
      <c r="G55" s="7" t="s">
        <v>403</v>
      </c>
      <c r="H55" s="4" t="s">
        <v>403</v>
      </c>
      <c r="I55" s="4" t="s">
        <v>403</v>
      </c>
      <c r="J55" s="4">
        <v>1</v>
      </c>
      <c r="K55" s="4" t="s">
        <v>403</v>
      </c>
      <c r="L55" s="4">
        <v>2</v>
      </c>
      <c r="M55" s="254">
        <v>5</v>
      </c>
      <c r="N55" s="260" t="s">
        <v>411</v>
      </c>
    </row>
    <row r="56" spans="2:14" x14ac:dyDescent="0.3">
      <c r="B56" s="256" t="s">
        <v>361</v>
      </c>
      <c r="C56" s="7" t="s">
        <v>125</v>
      </c>
      <c r="D56" s="4" t="s">
        <v>408</v>
      </c>
      <c r="E56" s="263" t="s">
        <v>361</v>
      </c>
      <c r="F56" s="263" t="s">
        <v>398</v>
      </c>
      <c r="G56" s="7">
        <v>3</v>
      </c>
      <c r="H56" s="4">
        <v>5</v>
      </c>
      <c r="I56" s="4" t="s">
        <v>403</v>
      </c>
      <c r="J56" s="4" t="s">
        <v>403</v>
      </c>
      <c r="K56" s="4" t="s">
        <v>403</v>
      </c>
      <c r="L56" s="4">
        <v>1</v>
      </c>
      <c r="M56" s="254">
        <v>1</v>
      </c>
      <c r="N56" s="260" t="s">
        <v>411</v>
      </c>
    </row>
    <row r="57" spans="2:14" x14ac:dyDescent="0.3">
      <c r="B57" s="256" t="s">
        <v>362</v>
      </c>
      <c r="C57" s="7" t="s">
        <v>125</v>
      </c>
      <c r="D57" s="4" t="s">
        <v>408</v>
      </c>
      <c r="E57" s="254" t="s">
        <v>421</v>
      </c>
      <c r="F57" s="263" t="s">
        <v>398</v>
      </c>
      <c r="G57" s="7">
        <v>30</v>
      </c>
      <c r="H57" s="4" t="s">
        <v>420</v>
      </c>
      <c r="I57" s="4" t="s">
        <v>403</v>
      </c>
      <c r="J57" s="4" t="s">
        <v>403</v>
      </c>
      <c r="K57" s="4" t="s">
        <v>403</v>
      </c>
      <c r="L57" s="4" t="s">
        <v>420</v>
      </c>
      <c r="M57" s="254" t="s">
        <v>403</v>
      </c>
      <c r="N57" s="260" t="s">
        <v>422</v>
      </c>
    </row>
    <row r="58" spans="2:14" x14ac:dyDescent="0.3">
      <c r="B58" s="256" t="s">
        <v>363</v>
      </c>
      <c r="C58" s="7" t="s">
        <v>125</v>
      </c>
      <c r="D58" s="4" t="s">
        <v>408</v>
      </c>
      <c r="E58" s="254" t="s">
        <v>363</v>
      </c>
      <c r="F58" s="263" t="s">
        <v>398</v>
      </c>
      <c r="G58" s="7" t="s">
        <v>420</v>
      </c>
      <c r="H58" s="4" t="s">
        <v>420</v>
      </c>
      <c r="I58" s="4" t="s">
        <v>403</v>
      </c>
      <c r="J58" s="4" t="s">
        <v>403</v>
      </c>
      <c r="K58" s="4" t="s">
        <v>403</v>
      </c>
      <c r="L58" s="4">
        <v>15</v>
      </c>
      <c r="M58" s="254" t="s">
        <v>420</v>
      </c>
      <c r="N58" s="260" t="s">
        <v>411</v>
      </c>
    </row>
    <row r="59" spans="2:14" x14ac:dyDescent="0.3">
      <c r="B59" s="256" t="s">
        <v>364</v>
      </c>
      <c r="C59" s="7" t="s">
        <v>125</v>
      </c>
      <c r="D59" s="4" t="s">
        <v>408</v>
      </c>
      <c r="E59" s="254" t="s">
        <v>364</v>
      </c>
      <c r="F59" s="263" t="s">
        <v>398</v>
      </c>
      <c r="G59" s="7">
        <v>15</v>
      </c>
      <c r="H59" s="4" t="s">
        <v>420</v>
      </c>
      <c r="I59" s="4" t="s">
        <v>403</v>
      </c>
      <c r="J59" s="4" t="s">
        <v>403</v>
      </c>
      <c r="K59" s="4" t="s">
        <v>403</v>
      </c>
      <c r="L59" s="4">
        <v>10</v>
      </c>
      <c r="M59" s="254">
        <v>25</v>
      </c>
      <c r="N59" s="260" t="s">
        <v>411</v>
      </c>
    </row>
    <row r="60" spans="2:14" x14ac:dyDescent="0.3">
      <c r="B60" s="256" t="s">
        <v>365</v>
      </c>
      <c r="C60" s="7" t="s">
        <v>125</v>
      </c>
      <c r="D60" s="4" t="s">
        <v>408</v>
      </c>
      <c r="E60" s="254" t="s">
        <v>365</v>
      </c>
      <c r="F60" s="263" t="s">
        <v>398</v>
      </c>
      <c r="G60" s="7">
        <v>30</v>
      </c>
      <c r="H60" s="4" t="s">
        <v>420</v>
      </c>
      <c r="I60" s="4" t="s">
        <v>403</v>
      </c>
      <c r="J60" s="4" t="s">
        <v>403</v>
      </c>
      <c r="K60" s="4" t="s">
        <v>403</v>
      </c>
      <c r="L60" s="4">
        <v>10</v>
      </c>
      <c r="M60" s="254">
        <v>25</v>
      </c>
      <c r="N60" s="260" t="s">
        <v>411</v>
      </c>
    </row>
    <row r="61" spans="2:14" x14ac:dyDescent="0.3">
      <c r="B61" s="256" t="s">
        <v>366</v>
      </c>
      <c r="C61" s="7" t="s">
        <v>125</v>
      </c>
      <c r="D61" s="4" t="s">
        <v>408</v>
      </c>
      <c r="E61" s="254" t="s">
        <v>366</v>
      </c>
      <c r="F61" s="263" t="s">
        <v>398</v>
      </c>
      <c r="G61" s="7">
        <v>1</v>
      </c>
      <c r="H61" s="4">
        <v>3</v>
      </c>
      <c r="I61" s="4" t="s">
        <v>403</v>
      </c>
      <c r="J61" s="4" t="s">
        <v>403</v>
      </c>
      <c r="K61" s="4" t="s">
        <v>403</v>
      </c>
      <c r="L61" s="4">
        <v>2</v>
      </c>
      <c r="M61" s="254" t="s">
        <v>403</v>
      </c>
      <c r="N61" s="260" t="s">
        <v>411</v>
      </c>
    </row>
    <row r="62" spans="2:14" x14ac:dyDescent="0.3">
      <c r="B62" s="256" t="s">
        <v>367</v>
      </c>
      <c r="C62" s="7" t="s">
        <v>125</v>
      </c>
      <c r="D62" s="4" t="s">
        <v>408</v>
      </c>
      <c r="E62" s="254" t="s">
        <v>367</v>
      </c>
      <c r="F62" s="263" t="s">
        <v>398</v>
      </c>
      <c r="G62" s="7">
        <v>7</v>
      </c>
      <c r="H62" s="4">
        <v>15</v>
      </c>
      <c r="I62" s="4" t="s">
        <v>403</v>
      </c>
      <c r="J62" s="4" t="s">
        <v>403</v>
      </c>
      <c r="K62" s="4" t="s">
        <v>403</v>
      </c>
      <c r="L62" s="4">
        <v>14</v>
      </c>
      <c r="M62" s="254" t="s">
        <v>403</v>
      </c>
      <c r="N62" s="260" t="s">
        <v>411</v>
      </c>
    </row>
    <row r="63" spans="2:14" x14ac:dyDescent="0.3">
      <c r="B63" s="256" t="s">
        <v>368</v>
      </c>
      <c r="C63" s="7" t="s">
        <v>125</v>
      </c>
      <c r="D63" s="4" t="s">
        <v>408</v>
      </c>
      <c r="E63" s="254" t="s">
        <v>368</v>
      </c>
      <c r="F63" s="263" t="s">
        <v>398</v>
      </c>
      <c r="G63" s="7">
        <v>1</v>
      </c>
      <c r="H63" s="4">
        <v>3</v>
      </c>
      <c r="I63" s="4" t="s">
        <v>403</v>
      </c>
      <c r="J63" s="4" t="s">
        <v>403</v>
      </c>
      <c r="K63" s="4" t="s">
        <v>403</v>
      </c>
      <c r="L63" s="4">
        <v>2</v>
      </c>
      <c r="M63" s="254" t="s">
        <v>403</v>
      </c>
      <c r="N63" s="260" t="s">
        <v>411</v>
      </c>
    </row>
    <row r="64" spans="2:14" x14ac:dyDescent="0.3">
      <c r="B64" s="256" t="s">
        <v>369</v>
      </c>
      <c r="C64" s="7" t="s">
        <v>125</v>
      </c>
      <c r="D64" s="4" t="s">
        <v>408</v>
      </c>
      <c r="E64" s="254" t="s">
        <v>369</v>
      </c>
      <c r="F64" s="263" t="s">
        <v>398</v>
      </c>
      <c r="G64" s="7">
        <v>3</v>
      </c>
      <c r="H64" s="4">
        <v>6</v>
      </c>
      <c r="I64" s="4" t="s">
        <v>403</v>
      </c>
      <c r="J64" s="4" t="s">
        <v>403</v>
      </c>
      <c r="K64" s="4" t="s">
        <v>403</v>
      </c>
      <c r="L64" s="4">
        <v>4</v>
      </c>
      <c r="M64" s="254" t="s">
        <v>403</v>
      </c>
      <c r="N64" s="260" t="s">
        <v>411</v>
      </c>
    </row>
    <row r="65" spans="2:14" x14ac:dyDescent="0.3">
      <c r="B65" s="256" t="s">
        <v>370</v>
      </c>
      <c r="C65" s="7" t="s">
        <v>125</v>
      </c>
      <c r="D65" s="4" t="s">
        <v>408</v>
      </c>
      <c r="E65" s="254" t="s">
        <v>370</v>
      </c>
      <c r="F65" s="263" t="s">
        <v>398</v>
      </c>
      <c r="G65" s="7">
        <v>1</v>
      </c>
      <c r="H65" s="4">
        <v>4</v>
      </c>
      <c r="I65" s="4" t="s">
        <v>403</v>
      </c>
      <c r="J65" s="4" t="s">
        <v>403</v>
      </c>
      <c r="K65" s="4" t="s">
        <v>403</v>
      </c>
      <c r="L65" s="4">
        <v>3</v>
      </c>
      <c r="M65" s="254" t="s">
        <v>403</v>
      </c>
      <c r="N65" s="260" t="s">
        <v>411</v>
      </c>
    </row>
    <row r="66" spans="2:14" x14ac:dyDescent="0.3">
      <c r="B66" s="256" t="s">
        <v>371</v>
      </c>
      <c r="C66" s="7" t="s">
        <v>125</v>
      </c>
      <c r="D66" s="4" t="s">
        <v>408</v>
      </c>
      <c r="E66" s="254" t="s">
        <v>371</v>
      </c>
      <c r="F66" s="263" t="s">
        <v>398</v>
      </c>
      <c r="G66" s="7">
        <v>3</v>
      </c>
      <c r="H66" s="4">
        <v>5</v>
      </c>
      <c r="I66" s="4" t="s">
        <v>403</v>
      </c>
      <c r="J66" s="4" t="s">
        <v>403</v>
      </c>
      <c r="K66" s="4" t="s">
        <v>403</v>
      </c>
      <c r="L66" s="4">
        <v>4</v>
      </c>
      <c r="M66" s="254" t="s">
        <v>403</v>
      </c>
      <c r="N66" s="260" t="s">
        <v>411</v>
      </c>
    </row>
    <row r="67" spans="2:14" x14ac:dyDescent="0.3">
      <c r="B67" s="256" t="s">
        <v>372</v>
      </c>
      <c r="C67" s="7" t="s">
        <v>125</v>
      </c>
      <c r="D67" s="4" t="s">
        <v>408</v>
      </c>
      <c r="E67" s="254" t="s">
        <v>372</v>
      </c>
      <c r="F67" s="263" t="s">
        <v>398</v>
      </c>
      <c r="G67" s="7">
        <v>3</v>
      </c>
      <c r="H67" s="4">
        <v>5</v>
      </c>
      <c r="I67" s="4" t="s">
        <v>403</v>
      </c>
      <c r="J67" s="4" t="s">
        <v>403</v>
      </c>
      <c r="K67" s="4" t="s">
        <v>403</v>
      </c>
      <c r="L67" s="4">
        <v>2</v>
      </c>
      <c r="M67" s="254" t="s">
        <v>403</v>
      </c>
      <c r="N67" s="260" t="s">
        <v>411</v>
      </c>
    </row>
    <row r="68" spans="2:14" x14ac:dyDescent="0.3">
      <c r="B68" s="256" t="s">
        <v>373</v>
      </c>
      <c r="C68" s="7" t="s">
        <v>125</v>
      </c>
      <c r="D68" s="4" t="s">
        <v>408</v>
      </c>
      <c r="E68" s="254" t="s">
        <v>373</v>
      </c>
      <c r="F68" s="263" t="s">
        <v>398</v>
      </c>
      <c r="G68" s="7">
        <v>10</v>
      </c>
      <c r="H68" s="4">
        <v>20</v>
      </c>
      <c r="I68" s="4" t="s">
        <v>403</v>
      </c>
      <c r="J68" s="4" t="s">
        <v>403</v>
      </c>
      <c r="K68" s="4" t="s">
        <v>403</v>
      </c>
      <c r="L68" s="4">
        <v>20</v>
      </c>
      <c r="M68" s="254" t="s">
        <v>403</v>
      </c>
      <c r="N68" s="260" t="s">
        <v>411</v>
      </c>
    </row>
    <row r="69" spans="2:14" x14ac:dyDescent="0.3">
      <c r="B69" s="256" t="s">
        <v>374</v>
      </c>
      <c r="C69" s="7" t="s">
        <v>125</v>
      </c>
      <c r="D69" s="4" t="s">
        <v>408</v>
      </c>
      <c r="E69" s="254" t="s">
        <v>374</v>
      </c>
      <c r="F69" s="263" t="s">
        <v>398</v>
      </c>
      <c r="G69" s="7">
        <v>5</v>
      </c>
      <c r="H69" s="4">
        <v>15</v>
      </c>
      <c r="I69" s="4" t="s">
        <v>403</v>
      </c>
      <c r="J69" s="4" t="s">
        <v>403</v>
      </c>
      <c r="K69" s="4" t="s">
        <v>403</v>
      </c>
      <c r="L69" s="4">
        <v>6</v>
      </c>
      <c r="M69" s="254" t="s">
        <v>403</v>
      </c>
      <c r="N69" s="260" t="s">
        <v>411</v>
      </c>
    </row>
    <row r="70" spans="2:14" x14ac:dyDescent="0.3">
      <c r="B70" s="256" t="s">
        <v>375</v>
      </c>
      <c r="C70" s="7" t="s">
        <v>125</v>
      </c>
      <c r="D70" s="4" t="s">
        <v>408</v>
      </c>
      <c r="E70" s="254" t="s">
        <v>375</v>
      </c>
      <c r="F70" s="263" t="s">
        <v>398</v>
      </c>
      <c r="G70" s="7">
        <v>1</v>
      </c>
      <c r="H70" s="4">
        <v>4</v>
      </c>
      <c r="I70" s="4" t="s">
        <v>403</v>
      </c>
      <c r="J70" s="4" t="s">
        <v>403</v>
      </c>
      <c r="K70" s="4" t="s">
        <v>403</v>
      </c>
      <c r="L70" s="4">
        <v>3</v>
      </c>
      <c r="M70" s="254" t="s">
        <v>403</v>
      </c>
      <c r="N70" s="260" t="s">
        <v>411</v>
      </c>
    </row>
    <row r="71" spans="2:14" x14ac:dyDescent="0.3">
      <c r="B71" s="256" t="s">
        <v>376</v>
      </c>
      <c r="C71" s="7" t="s">
        <v>125</v>
      </c>
      <c r="D71" s="4" t="s">
        <v>408</v>
      </c>
      <c r="E71" s="254" t="s">
        <v>423</v>
      </c>
      <c r="F71" s="263" t="s">
        <v>398</v>
      </c>
      <c r="G71" s="7">
        <v>5</v>
      </c>
      <c r="H71" s="4">
        <v>15</v>
      </c>
      <c r="I71" s="4" t="s">
        <v>403</v>
      </c>
      <c r="J71" s="4" t="s">
        <v>403</v>
      </c>
      <c r="K71" s="4" t="s">
        <v>403</v>
      </c>
      <c r="L71" s="4">
        <v>8</v>
      </c>
      <c r="M71" s="254" t="s">
        <v>403</v>
      </c>
      <c r="N71" s="260" t="s">
        <v>424</v>
      </c>
    </row>
    <row r="72" spans="2:14" x14ac:dyDescent="0.3">
      <c r="B72" s="256" t="s">
        <v>377</v>
      </c>
      <c r="C72" s="7" t="s">
        <v>125</v>
      </c>
      <c r="D72" s="4" t="s">
        <v>408</v>
      </c>
      <c r="E72" s="254" t="s">
        <v>425</v>
      </c>
      <c r="F72" s="263" t="s">
        <v>398</v>
      </c>
      <c r="G72" s="7">
        <v>4</v>
      </c>
      <c r="H72" s="4">
        <v>13</v>
      </c>
      <c r="I72" s="4" t="s">
        <v>403</v>
      </c>
      <c r="J72" s="4" t="s">
        <v>403</v>
      </c>
      <c r="K72" s="4" t="s">
        <v>403</v>
      </c>
      <c r="L72" s="4">
        <v>7</v>
      </c>
      <c r="M72" s="254" t="s">
        <v>403</v>
      </c>
      <c r="N72" s="260" t="s">
        <v>424</v>
      </c>
    </row>
    <row r="73" spans="2:14" x14ac:dyDescent="0.3">
      <c r="B73" s="256" t="s">
        <v>378</v>
      </c>
      <c r="C73" s="7" t="s">
        <v>125</v>
      </c>
      <c r="D73" s="4" t="s">
        <v>408</v>
      </c>
      <c r="E73" s="254" t="s">
        <v>378</v>
      </c>
      <c r="F73" s="263" t="s">
        <v>398</v>
      </c>
      <c r="G73" s="7">
        <v>4</v>
      </c>
      <c r="H73" s="4">
        <v>13</v>
      </c>
      <c r="I73" s="4" t="s">
        <v>403</v>
      </c>
      <c r="J73" s="4" t="s">
        <v>403</v>
      </c>
      <c r="K73" s="4" t="s">
        <v>403</v>
      </c>
      <c r="L73" s="4">
        <v>7</v>
      </c>
      <c r="M73" s="254">
        <v>13</v>
      </c>
      <c r="N73" s="260" t="s">
        <v>411</v>
      </c>
    </row>
    <row r="74" spans="2:14" x14ac:dyDescent="0.3">
      <c r="B74" s="256" t="s">
        <v>244</v>
      </c>
      <c r="C74" s="7" t="s">
        <v>125</v>
      </c>
      <c r="D74" s="4" t="s">
        <v>408</v>
      </c>
      <c r="E74" s="254" t="s">
        <v>244</v>
      </c>
      <c r="F74" s="263" t="s">
        <v>398</v>
      </c>
      <c r="G74" s="7">
        <v>5</v>
      </c>
      <c r="H74" s="4">
        <v>12</v>
      </c>
      <c r="I74" s="4" t="s">
        <v>403</v>
      </c>
      <c r="J74" s="4" t="s">
        <v>403</v>
      </c>
      <c r="K74" s="4" t="s">
        <v>403</v>
      </c>
      <c r="L74" s="4">
        <v>2</v>
      </c>
      <c r="M74" s="258">
        <v>5</v>
      </c>
      <c r="N74" s="260" t="s">
        <v>411</v>
      </c>
    </row>
    <row r="75" spans="2:14" x14ac:dyDescent="0.3">
      <c r="B75" s="256" t="s">
        <v>245</v>
      </c>
      <c r="C75" s="7" t="s">
        <v>125</v>
      </c>
      <c r="D75" s="4" t="s">
        <v>408</v>
      </c>
      <c r="E75" s="254" t="s">
        <v>245</v>
      </c>
      <c r="F75" s="263" t="s">
        <v>398</v>
      </c>
      <c r="G75" s="7">
        <v>5</v>
      </c>
      <c r="H75" s="4">
        <v>12</v>
      </c>
      <c r="I75" s="4" t="s">
        <v>403</v>
      </c>
      <c r="J75" s="4" t="s">
        <v>403</v>
      </c>
      <c r="K75" s="4" t="s">
        <v>403</v>
      </c>
      <c r="L75" s="4">
        <v>2</v>
      </c>
      <c r="M75" s="258">
        <v>6</v>
      </c>
      <c r="N75" s="260" t="s">
        <v>411</v>
      </c>
    </row>
    <row r="76" spans="2:14" x14ac:dyDescent="0.3">
      <c r="B76" s="256" t="s">
        <v>246</v>
      </c>
      <c r="C76" s="7" t="s">
        <v>125</v>
      </c>
      <c r="D76" s="4" t="s">
        <v>408</v>
      </c>
      <c r="E76" s="254" t="s">
        <v>246</v>
      </c>
      <c r="F76" s="263" t="s">
        <v>398</v>
      </c>
      <c r="G76" s="7">
        <v>10</v>
      </c>
      <c r="H76" s="4">
        <v>20</v>
      </c>
      <c r="I76" s="4" t="s">
        <v>403</v>
      </c>
      <c r="J76" s="4" t="s">
        <v>403</v>
      </c>
      <c r="K76" s="4" t="s">
        <v>403</v>
      </c>
      <c r="L76" s="4">
        <v>4</v>
      </c>
      <c r="M76" s="258">
        <v>12</v>
      </c>
      <c r="N76" s="260" t="s">
        <v>411</v>
      </c>
    </row>
    <row r="77" spans="2:14" x14ac:dyDescent="0.3">
      <c r="B77" s="256" t="s">
        <v>250</v>
      </c>
      <c r="C77" s="7" t="s">
        <v>125</v>
      </c>
      <c r="D77" s="4" t="s">
        <v>408</v>
      </c>
      <c r="E77" s="254" t="s">
        <v>426</v>
      </c>
      <c r="F77" s="263" t="s">
        <v>398</v>
      </c>
      <c r="G77" s="7">
        <v>5</v>
      </c>
      <c r="H77" s="4">
        <v>12</v>
      </c>
      <c r="I77" s="4" t="s">
        <v>403</v>
      </c>
      <c r="J77" s="4" t="s">
        <v>403</v>
      </c>
      <c r="K77" s="4" t="s">
        <v>403</v>
      </c>
      <c r="L77" s="4">
        <v>2</v>
      </c>
      <c r="M77" s="258" t="s">
        <v>403</v>
      </c>
      <c r="N77" s="260" t="s">
        <v>427</v>
      </c>
    </row>
    <row r="78" spans="2:14" x14ac:dyDescent="0.3">
      <c r="B78" s="256" t="s">
        <v>254</v>
      </c>
      <c r="C78" s="1" t="s">
        <v>399</v>
      </c>
      <c r="D78" s="82" t="s">
        <v>399</v>
      </c>
      <c r="E78" s="258" t="s">
        <v>402</v>
      </c>
      <c r="F78" s="263" t="s">
        <v>403</v>
      </c>
      <c r="G78" s="7" t="s">
        <v>403</v>
      </c>
      <c r="H78" s="4" t="s">
        <v>403</v>
      </c>
      <c r="I78" s="4">
        <v>1</v>
      </c>
      <c r="J78" s="4" t="s">
        <v>403</v>
      </c>
      <c r="K78" s="4" t="s">
        <v>403</v>
      </c>
      <c r="L78" s="4" t="s">
        <v>403</v>
      </c>
      <c r="M78" s="258" t="s">
        <v>403</v>
      </c>
      <c r="N78" s="260" t="s">
        <v>402</v>
      </c>
    </row>
    <row r="79" spans="2:14" ht="28.8" customHeight="1" x14ac:dyDescent="0.3">
      <c r="B79" s="256" t="s">
        <v>251</v>
      </c>
      <c r="C79" s="7" t="s">
        <v>125</v>
      </c>
      <c r="D79" s="4" t="s">
        <v>408</v>
      </c>
      <c r="E79" s="258" t="s">
        <v>428</v>
      </c>
      <c r="F79" s="263" t="s">
        <v>398</v>
      </c>
      <c r="G79" s="7">
        <v>20</v>
      </c>
      <c r="H79" s="4" t="s">
        <v>420</v>
      </c>
      <c r="I79" s="4" t="s">
        <v>403</v>
      </c>
      <c r="J79" s="4" t="s">
        <v>403</v>
      </c>
      <c r="K79" s="4" t="s">
        <v>429</v>
      </c>
      <c r="L79" s="4">
        <v>10</v>
      </c>
      <c r="M79" s="258" t="s">
        <v>429</v>
      </c>
      <c r="N79" s="260" t="s">
        <v>430</v>
      </c>
    </row>
    <row r="80" spans="2:14" x14ac:dyDescent="0.3">
      <c r="B80" s="256" t="s">
        <v>247</v>
      </c>
      <c r="C80" s="7" t="s">
        <v>125</v>
      </c>
      <c r="D80" s="4" t="s">
        <v>408</v>
      </c>
      <c r="E80" s="254" t="s">
        <v>431</v>
      </c>
      <c r="F80" s="263" t="s">
        <v>398</v>
      </c>
      <c r="G80" s="7">
        <v>20</v>
      </c>
      <c r="H80" s="4" t="s">
        <v>420</v>
      </c>
      <c r="I80" s="4" t="s">
        <v>403</v>
      </c>
      <c r="J80" s="4" t="s">
        <v>403</v>
      </c>
      <c r="K80" s="4" t="s">
        <v>403</v>
      </c>
      <c r="L80" s="4">
        <v>10</v>
      </c>
      <c r="M80" s="258" t="s">
        <v>403</v>
      </c>
      <c r="N80" s="260" t="s">
        <v>432</v>
      </c>
    </row>
    <row r="81" spans="2:14" ht="28.8" customHeight="1" x14ac:dyDescent="0.3">
      <c r="B81" s="256" t="s">
        <v>252</v>
      </c>
      <c r="C81" s="7" t="s">
        <v>125</v>
      </c>
      <c r="D81" s="4" t="s">
        <v>408</v>
      </c>
      <c r="E81" s="258" t="s">
        <v>433</v>
      </c>
      <c r="F81" s="263" t="s">
        <v>398</v>
      </c>
      <c r="G81" s="7">
        <v>20</v>
      </c>
      <c r="H81" s="4" t="s">
        <v>420</v>
      </c>
      <c r="I81" s="4" t="s">
        <v>403</v>
      </c>
      <c r="J81" s="4" t="s">
        <v>403</v>
      </c>
      <c r="K81" s="4" t="s">
        <v>403</v>
      </c>
      <c r="L81" s="4">
        <v>10</v>
      </c>
      <c r="M81" s="258">
        <v>10</v>
      </c>
      <c r="N81" s="260" t="s">
        <v>430</v>
      </c>
    </row>
    <row r="82" spans="2:14" x14ac:dyDescent="0.3">
      <c r="B82" s="256" t="s">
        <v>248</v>
      </c>
      <c r="C82" s="7" t="s">
        <v>125</v>
      </c>
      <c r="D82" s="4" t="s">
        <v>408</v>
      </c>
      <c r="E82" s="254" t="s">
        <v>434</v>
      </c>
      <c r="F82" s="263" t="s">
        <v>398</v>
      </c>
      <c r="G82" s="7">
        <v>20</v>
      </c>
      <c r="H82" s="4" t="s">
        <v>420</v>
      </c>
      <c r="I82" s="4" t="s">
        <v>403</v>
      </c>
      <c r="J82" s="4" t="s">
        <v>403</v>
      </c>
      <c r="K82" s="4" t="s">
        <v>403</v>
      </c>
      <c r="L82" s="4">
        <v>10</v>
      </c>
      <c r="M82" s="258">
        <v>10</v>
      </c>
      <c r="N82" s="260" t="s">
        <v>411</v>
      </c>
    </row>
    <row r="83" spans="2:14" x14ac:dyDescent="0.3">
      <c r="B83" s="256" t="s">
        <v>271</v>
      </c>
      <c r="C83" s="7" t="s">
        <v>125</v>
      </c>
      <c r="D83" s="4" t="s">
        <v>408</v>
      </c>
      <c r="E83" s="254" t="s">
        <v>271</v>
      </c>
      <c r="F83" s="263" t="s">
        <v>398</v>
      </c>
      <c r="G83" s="7">
        <v>5</v>
      </c>
      <c r="H83" s="4">
        <v>10</v>
      </c>
      <c r="I83" s="4" t="s">
        <v>403</v>
      </c>
      <c r="J83" s="4" t="s">
        <v>403</v>
      </c>
      <c r="K83" s="4" t="s">
        <v>403</v>
      </c>
      <c r="L83" s="4">
        <v>4</v>
      </c>
      <c r="M83" s="258">
        <v>10</v>
      </c>
      <c r="N83" s="260" t="s">
        <v>411</v>
      </c>
    </row>
    <row r="84" spans="2:14" x14ac:dyDescent="0.3">
      <c r="B84" s="256" t="s">
        <v>270</v>
      </c>
      <c r="C84" s="7" t="s">
        <v>125</v>
      </c>
      <c r="D84" s="4" t="s">
        <v>408</v>
      </c>
      <c r="E84" s="254" t="s">
        <v>270</v>
      </c>
      <c r="F84" s="263" t="s">
        <v>398</v>
      </c>
      <c r="G84" s="7">
        <v>5</v>
      </c>
      <c r="H84" s="4">
        <v>10</v>
      </c>
      <c r="I84" s="4" t="s">
        <v>403</v>
      </c>
      <c r="J84" s="4" t="s">
        <v>403</v>
      </c>
      <c r="K84" s="4" t="s">
        <v>403</v>
      </c>
      <c r="L84" s="4">
        <v>4</v>
      </c>
      <c r="M84" s="258">
        <v>10</v>
      </c>
      <c r="N84" s="260" t="s">
        <v>411</v>
      </c>
    </row>
    <row r="85" spans="2:14" x14ac:dyDescent="0.3">
      <c r="B85" s="256" t="s">
        <v>272</v>
      </c>
      <c r="C85" s="1" t="s">
        <v>399</v>
      </c>
      <c r="D85" s="82" t="s">
        <v>399</v>
      </c>
      <c r="E85" s="258" t="s">
        <v>435</v>
      </c>
      <c r="F85" s="263" t="s">
        <v>403</v>
      </c>
      <c r="G85" s="7" t="s">
        <v>403</v>
      </c>
      <c r="H85" s="4" t="s">
        <v>403</v>
      </c>
      <c r="I85" s="4">
        <v>1</v>
      </c>
      <c r="J85" s="4" t="s">
        <v>403</v>
      </c>
      <c r="K85" s="4" t="s">
        <v>403</v>
      </c>
      <c r="L85" s="4" t="s">
        <v>403</v>
      </c>
      <c r="M85" s="258" t="s">
        <v>403</v>
      </c>
      <c r="N85" s="260" t="s">
        <v>436</v>
      </c>
    </row>
    <row r="86" spans="2:14" x14ac:dyDescent="0.3">
      <c r="B86" s="256"/>
      <c r="C86" s="7"/>
      <c r="D86" s="4"/>
      <c r="E86" s="254"/>
      <c r="F86" s="263"/>
      <c r="G86" s="7"/>
      <c r="H86" s="4"/>
      <c r="I86" s="4"/>
      <c r="J86" s="4"/>
      <c r="K86" s="4"/>
      <c r="L86" s="4"/>
      <c r="M86" s="254"/>
      <c r="N86" s="256"/>
    </row>
    <row r="87" spans="2:14" x14ac:dyDescent="0.3">
      <c r="B87" s="256"/>
      <c r="C87" s="7"/>
      <c r="D87" s="4"/>
      <c r="E87" s="254"/>
      <c r="F87" s="263"/>
      <c r="G87" s="7"/>
      <c r="H87" s="4"/>
      <c r="I87" s="4"/>
      <c r="J87" s="4"/>
      <c r="K87" s="4"/>
      <c r="L87" s="4"/>
      <c r="M87" s="254"/>
      <c r="N87" s="256"/>
    </row>
    <row r="88" spans="2:14" x14ac:dyDescent="0.3">
      <c r="B88" s="256"/>
      <c r="C88" s="7"/>
      <c r="D88" s="4"/>
      <c r="E88" s="254"/>
      <c r="F88" s="263"/>
      <c r="G88" s="7"/>
      <c r="H88" s="4"/>
      <c r="I88" s="4"/>
      <c r="J88" s="4"/>
      <c r="K88" s="4"/>
      <c r="L88" s="4"/>
      <c r="M88" s="254"/>
      <c r="N88" s="256"/>
    </row>
    <row r="89" spans="2:14" x14ac:dyDescent="0.3">
      <c r="B89" s="256"/>
      <c r="C89" s="7"/>
      <c r="D89" s="4"/>
      <c r="E89" s="254"/>
      <c r="F89" s="263"/>
      <c r="G89" s="7"/>
      <c r="H89" s="4"/>
      <c r="I89" s="4"/>
      <c r="J89" s="4"/>
      <c r="K89" s="4"/>
      <c r="L89" s="4"/>
      <c r="M89" s="254"/>
      <c r="N89" s="256"/>
    </row>
    <row r="90" spans="2:14" x14ac:dyDescent="0.3">
      <c r="B90" s="256"/>
      <c r="C90" s="7"/>
      <c r="D90" s="4"/>
      <c r="E90" s="254"/>
      <c r="F90" s="263"/>
      <c r="G90" s="7"/>
      <c r="H90" s="4"/>
      <c r="I90" s="4"/>
      <c r="J90" s="4"/>
      <c r="K90" s="4"/>
      <c r="L90" s="4"/>
      <c r="M90" s="254"/>
      <c r="N90" s="256"/>
    </row>
    <row r="91" spans="2:14" x14ac:dyDescent="0.3">
      <c r="B91" s="256"/>
      <c r="C91" s="7"/>
      <c r="D91" s="4"/>
      <c r="E91" s="254"/>
      <c r="F91" s="263"/>
      <c r="G91" s="7"/>
      <c r="H91" s="4"/>
      <c r="I91" s="4"/>
      <c r="J91" s="4"/>
      <c r="K91" s="4"/>
      <c r="L91" s="4"/>
      <c r="M91" s="254"/>
      <c r="N91" s="256"/>
    </row>
    <row r="92" spans="2:14" x14ac:dyDescent="0.3">
      <c r="B92" s="256"/>
      <c r="C92" s="7"/>
      <c r="D92" s="4"/>
      <c r="E92" s="254"/>
      <c r="F92" s="263"/>
      <c r="G92" s="7"/>
      <c r="H92" s="4"/>
      <c r="I92" s="4"/>
      <c r="J92" s="4"/>
      <c r="K92" s="4"/>
      <c r="L92" s="4"/>
      <c r="M92" s="254"/>
      <c r="N92" s="256"/>
    </row>
    <row r="93" spans="2:14" x14ac:dyDescent="0.3">
      <c r="B93" s="256"/>
      <c r="C93" s="7"/>
      <c r="D93" s="4"/>
      <c r="E93" s="254"/>
      <c r="F93" s="263"/>
      <c r="G93" s="7"/>
      <c r="H93" s="4"/>
      <c r="I93" s="4"/>
      <c r="J93" s="4"/>
      <c r="K93" s="4"/>
      <c r="L93" s="4"/>
      <c r="M93" s="254"/>
      <c r="N93" s="256"/>
    </row>
    <row r="94" spans="2:14" x14ac:dyDescent="0.3">
      <c r="B94" s="256"/>
      <c r="C94" s="7"/>
      <c r="D94" s="4"/>
      <c r="E94" s="254"/>
      <c r="F94" s="263"/>
      <c r="G94" s="7"/>
      <c r="H94" s="4"/>
      <c r="I94" s="4"/>
      <c r="J94" s="4"/>
      <c r="K94" s="4"/>
      <c r="L94" s="4"/>
      <c r="M94" s="254"/>
      <c r="N94" s="256"/>
    </row>
    <row r="95" spans="2:14" x14ac:dyDescent="0.3">
      <c r="B95" s="256"/>
      <c r="C95" s="7"/>
      <c r="D95" s="4"/>
      <c r="E95" s="254"/>
      <c r="F95" s="263"/>
      <c r="G95" s="7"/>
      <c r="H95" s="4"/>
      <c r="I95" s="4"/>
      <c r="J95" s="4"/>
      <c r="K95" s="4"/>
      <c r="L95" s="4"/>
      <c r="M95" s="254"/>
      <c r="N95" s="256"/>
    </row>
    <row r="96" spans="2:14" x14ac:dyDescent="0.3">
      <c r="B96" s="256"/>
      <c r="C96" s="7"/>
      <c r="D96" s="4"/>
      <c r="E96" s="254"/>
      <c r="F96" s="263"/>
      <c r="G96" s="7"/>
      <c r="H96" s="4"/>
      <c r="I96" s="4"/>
      <c r="J96" s="4"/>
      <c r="K96" s="4"/>
      <c r="L96" s="4"/>
      <c r="M96" s="254"/>
      <c r="N96" s="256"/>
    </row>
    <row r="97" spans="2:14" x14ac:dyDescent="0.3">
      <c r="B97" s="256"/>
      <c r="C97" s="7"/>
      <c r="D97" s="4"/>
      <c r="E97" s="254"/>
      <c r="F97" s="263"/>
      <c r="G97" s="7"/>
      <c r="H97" s="4"/>
      <c r="I97" s="4"/>
      <c r="J97" s="4"/>
      <c r="K97" s="4"/>
      <c r="L97" s="4"/>
      <c r="M97" s="254"/>
      <c r="N97" s="256"/>
    </row>
    <row r="98" spans="2:14" x14ac:dyDescent="0.3">
      <c r="B98" s="256"/>
      <c r="C98" s="7"/>
      <c r="D98" s="4"/>
      <c r="E98" s="254"/>
      <c r="F98" s="263"/>
      <c r="G98" s="7"/>
      <c r="H98" s="4"/>
      <c r="I98" s="4"/>
      <c r="J98" s="4"/>
      <c r="K98" s="4"/>
      <c r="L98" s="4"/>
      <c r="M98" s="254"/>
      <c r="N98" s="256"/>
    </row>
    <row r="99" spans="2:14" x14ac:dyDescent="0.3">
      <c r="B99" s="256"/>
      <c r="C99" s="7"/>
      <c r="D99" s="4"/>
      <c r="E99" s="254"/>
      <c r="F99" s="263"/>
      <c r="G99" s="7"/>
      <c r="H99" s="4"/>
      <c r="I99" s="4"/>
      <c r="J99" s="4"/>
      <c r="K99" s="4"/>
      <c r="L99" s="4"/>
      <c r="M99" s="254"/>
      <c r="N99" s="256"/>
    </row>
    <row r="100" spans="2:14" x14ac:dyDescent="0.3">
      <c r="B100" s="256"/>
      <c r="C100" s="7"/>
      <c r="D100" s="4"/>
      <c r="E100" s="254"/>
      <c r="F100" s="263"/>
      <c r="G100" s="7"/>
      <c r="H100" s="4"/>
      <c r="I100" s="4"/>
      <c r="J100" s="4"/>
      <c r="K100" s="4"/>
      <c r="L100" s="4"/>
      <c r="M100" s="254"/>
      <c r="N100" s="256"/>
    </row>
    <row r="101" spans="2:14" x14ac:dyDescent="0.3">
      <c r="B101" s="256"/>
      <c r="C101" s="7"/>
      <c r="D101" s="4"/>
      <c r="E101" s="254"/>
      <c r="F101" s="263"/>
      <c r="G101" s="7"/>
      <c r="H101" s="4"/>
      <c r="I101" s="4"/>
      <c r="J101" s="4"/>
      <c r="K101" s="4"/>
      <c r="L101" s="4"/>
      <c r="M101" s="254"/>
      <c r="N101" s="256"/>
    </row>
    <row r="102" spans="2:14" x14ac:dyDescent="0.3">
      <c r="B102" s="256"/>
      <c r="C102" s="7"/>
      <c r="D102" s="4"/>
      <c r="E102" s="254"/>
      <c r="F102" s="263"/>
      <c r="G102" s="7"/>
      <c r="H102" s="4"/>
      <c r="I102" s="4"/>
      <c r="J102" s="4"/>
      <c r="K102" s="4"/>
      <c r="L102" s="4"/>
      <c r="M102" s="254"/>
      <c r="N102" s="256"/>
    </row>
    <row r="103" spans="2:14" x14ac:dyDescent="0.3">
      <c r="B103" s="256"/>
      <c r="C103" s="7"/>
      <c r="D103" s="4"/>
      <c r="E103" s="254"/>
      <c r="F103" s="263"/>
      <c r="G103" s="7"/>
      <c r="H103" s="4"/>
      <c r="I103" s="4"/>
      <c r="J103" s="4"/>
      <c r="K103" s="4"/>
      <c r="L103" s="4"/>
      <c r="M103" s="254"/>
      <c r="N103" s="256"/>
    </row>
    <row r="104" spans="2:14" x14ac:dyDescent="0.3">
      <c r="B104" s="256"/>
      <c r="C104" s="7"/>
      <c r="D104" s="4"/>
      <c r="E104" s="254"/>
      <c r="F104" s="263"/>
      <c r="G104" s="7"/>
      <c r="H104" s="4"/>
      <c r="I104" s="4"/>
      <c r="J104" s="4"/>
      <c r="K104" s="4"/>
      <c r="L104" s="4"/>
      <c r="M104" s="254"/>
      <c r="N104" s="256"/>
    </row>
    <row r="105" spans="2:14" x14ac:dyDescent="0.3">
      <c r="B105" s="256"/>
      <c r="C105" s="7"/>
      <c r="D105" s="4"/>
      <c r="E105" s="254"/>
      <c r="F105" s="263"/>
      <c r="G105" s="7"/>
      <c r="H105" s="4"/>
      <c r="I105" s="4"/>
      <c r="J105" s="4"/>
      <c r="K105" s="4"/>
      <c r="L105" s="4"/>
      <c r="M105" s="254"/>
      <c r="N105" s="256"/>
    </row>
    <row r="106" spans="2:14" ht="15" customHeight="1" x14ac:dyDescent="0.3">
      <c r="B106" s="257"/>
      <c r="C106" s="6"/>
      <c r="D106" s="3"/>
      <c r="E106" s="255"/>
      <c r="F106" s="347"/>
      <c r="G106" s="6"/>
      <c r="H106" s="3"/>
      <c r="I106" s="3"/>
      <c r="J106" s="3"/>
      <c r="K106" s="3"/>
      <c r="L106" s="3"/>
      <c r="M106" s="255"/>
      <c r="N106" s="257"/>
    </row>
  </sheetData>
  <sheetProtection algorithmName="SHA-512" hashValue="LYvYl5ooj1Ha6xH+BQb2GhoL1B9U8CrW3wk6O6XowNEjJ7sZIq179MjgtCn0llAIVxjwgVSRMmyqRTw4SAI6bw==" saltValue="WhM8uNmuz+5gTMjQUur5Bw==" spinCount="100000" sheet="1" objects="1"/>
  <autoFilter ref="C4:M85" xr:uid="{00000000-0009-0000-0000-000009000000}"/>
  <mergeCells count="11">
    <mergeCell ref="B1:N2"/>
    <mergeCell ref="B3:B5"/>
    <mergeCell ref="C3:F3"/>
    <mergeCell ref="G3:M3"/>
    <mergeCell ref="N3:N5"/>
    <mergeCell ref="C4:C5"/>
    <mergeCell ref="D4:D5"/>
    <mergeCell ref="E4:E5"/>
    <mergeCell ref="F4:F5"/>
    <mergeCell ref="L4:L5"/>
    <mergeCell ref="M4:M5"/>
  </mergeCells>
  <conditionalFormatting sqref="E91:E106">
    <cfRule type="cellIs" dxfId="0" priority="1" operator="equal">
      <formula>"Enhancement not possible"</formula>
    </cfRule>
  </conditionalFormatting>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32FE4-6CB4-4202-B14F-392921DBB553}">
  <sheetPr codeName="Sheet2">
    <tabColor rgb="FF005E5C"/>
  </sheetPr>
  <dimension ref="A1:XEZ412"/>
  <sheetViews>
    <sheetView zoomScale="80" zoomScaleNormal="80" workbookViewId="0">
      <selection activeCell="XFB1" sqref="XFB1"/>
    </sheetView>
  </sheetViews>
  <sheetFormatPr defaultColWidth="2.6640625" defaultRowHeight="14.4" zeroHeight="1" x14ac:dyDescent="0.3"/>
  <cols>
    <col min="1" max="1" width="25.33203125" style="97" customWidth="1"/>
    <col min="2" max="2" width="8.77734375" style="97" customWidth="1"/>
    <col min="3" max="3" width="42" style="97" customWidth="1"/>
    <col min="4" max="4" width="18.77734375" style="97" customWidth="1"/>
    <col min="5" max="5" width="32.44140625" style="97" customWidth="1"/>
    <col min="6" max="6" width="19.44140625" style="97" customWidth="1"/>
    <col min="7" max="7" width="32" style="97" bestFit="1" customWidth="1"/>
    <col min="8" max="8" width="8.77734375" style="97" customWidth="1"/>
    <col min="9" max="9" width="82.44140625" style="97" bestFit="1" customWidth="1"/>
    <col min="10" max="10" width="13.77734375" style="97" customWidth="1"/>
    <col min="11" max="11" width="35.33203125" style="97" bestFit="1" customWidth="1"/>
    <col min="12" max="12" width="8.77734375" style="97" customWidth="1"/>
    <col min="13" max="13" width="48.44140625" style="97" bestFit="1" customWidth="1"/>
    <col min="14" max="14" width="8.77734375" style="97" customWidth="1"/>
    <col min="15" max="15" width="33.44140625" style="97" bestFit="1" customWidth="1"/>
    <col min="16" max="16" width="8.77734375" style="97" customWidth="1"/>
    <col min="17" max="17" width="44" style="97" customWidth="1"/>
    <col min="18" max="18" width="8.77734375" style="97" customWidth="1"/>
    <col min="19" max="19" width="35.6640625" style="97" bestFit="1" customWidth="1"/>
    <col min="20" max="20" width="8.77734375" style="97" customWidth="1"/>
    <col min="21" max="21" width="61.44140625" style="97" customWidth="1"/>
    <col min="22" max="22" width="12" style="97" bestFit="1" customWidth="1"/>
    <col min="23" max="23" width="81.6640625" style="97" bestFit="1" customWidth="1"/>
    <col min="24" max="24" width="61.33203125" style="97" bestFit="1" customWidth="1"/>
    <col min="25" max="25" width="47.77734375" style="97" bestFit="1" customWidth="1"/>
    <col min="26" max="26" width="17" style="97" bestFit="1" customWidth="1"/>
    <col min="27" max="27" width="48.109375" style="97" customWidth="1"/>
    <col min="28" max="28" width="17" style="97" bestFit="1" customWidth="1"/>
    <col min="29" max="29" width="48.109375" style="97" customWidth="1"/>
    <col min="30" max="16380" width="2.6640625" style="97" hidden="1" customWidth="1"/>
    <col min="16381" max="16384" width="2.6640625" style="97" customWidth="1"/>
  </cols>
  <sheetData>
    <row r="1" spans="1:29" x14ac:dyDescent="0.3">
      <c r="A1" s="127" t="s">
        <v>437</v>
      </c>
      <c r="C1" s="127" t="s">
        <v>213</v>
      </c>
      <c r="E1" s="127" t="s">
        <v>217</v>
      </c>
      <c r="G1" s="127" t="s">
        <v>438</v>
      </c>
      <c r="I1" s="127" t="s">
        <v>439</v>
      </c>
      <c r="K1" s="127" t="s">
        <v>440</v>
      </c>
      <c r="M1" s="127" t="s">
        <v>221</v>
      </c>
      <c r="O1" s="127" t="s">
        <v>441</v>
      </c>
      <c r="Q1" s="127" t="s">
        <v>223</v>
      </c>
      <c r="S1" s="127" t="s">
        <v>442</v>
      </c>
      <c r="U1" s="127" t="s">
        <v>443</v>
      </c>
      <c r="W1" s="127" t="s">
        <v>444</v>
      </c>
      <c r="Y1" s="127" t="s">
        <v>263</v>
      </c>
      <c r="AA1" s="127" t="s">
        <v>445</v>
      </c>
      <c r="AC1" s="127" t="s">
        <v>446</v>
      </c>
    </row>
    <row r="2" spans="1:29" x14ac:dyDescent="0.3">
      <c r="A2" s="126" t="s">
        <v>213</v>
      </c>
      <c r="C2" s="89" t="s">
        <v>307</v>
      </c>
      <c r="E2" s="126" t="s">
        <v>319</v>
      </c>
      <c r="G2" s="126" t="s">
        <v>324</v>
      </c>
      <c r="I2" s="126" t="s">
        <v>376</v>
      </c>
      <c r="K2" s="126" t="s">
        <v>366</v>
      </c>
      <c r="M2" s="126" t="s">
        <v>333</v>
      </c>
      <c r="O2" s="126" t="s">
        <v>337</v>
      </c>
      <c r="Q2" s="126" t="s">
        <v>340</v>
      </c>
      <c r="S2" s="126" t="s">
        <v>362</v>
      </c>
      <c r="U2" s="126" t="s">
        <v>244</v>
      </c>
      <c r="W2" s="126" t="s">
        <v>251</v>
      </c>
      <c r="Y2" s="126" t="s">
        <v>270</v>
      </c>
      <c r="AA2" s="311" t="s">
        <v>367</v>
      </c>
      <c r="AC2" s="377" t="s">
        <v>105</v>
      </c>
    </row>
    <row r="3" spans="1:29" x14ac:dyDescent="0.3">
      <c r="A3" s="126" t="s">
        <v>217</v>
      </c>
      <c r="C3" s="89" t="s">
        <v>309</v>
      </c>
      <c r="E3" s="126" t="s">
        <v>320</v>
      </c>
      <c r="G3" s="126" t="s">
        <v>325</v>
      </c>
      <c r="I3" s="126" t="s">
        <v>377</v>
      </c>
      <c r="K3" s="126" t="s">
        <v>368</v>
      </c>
      <c r="M3" s="126" t="s">
        <v>335</v>
      </c>
      <c r="O3" s="128" t="s">
        <v>338</v>
      </c>
      <c r="Q3" s="126" t="s">
        <v>341</v>
      </c>
      <c r="S3" s="126" t="s">
        <v>363</v>
      </c>
      <c r="U3" s="126" t="s">
        <v>245</v>
      </c>
      <c r="W3" s="126" t="s">
        <v>247</v>
      </c>
      <c r="Y3" s="126" t="s">
        <v>272</v>
      </c>
      <c r="AA3" s="311"/>
      <c r="AC3" s="311"/>
    </row>
    <row r="4" spans="1:29" x14ac:dyDescent="0.3">
      <c r="A4" s="126" t="s">
        <v>218</v>
      </c>
      <c r="C4" s="89" t="s">
        <v>310</v>
      </c>
      <c r="E4" s="126" t="s">
        <v>321</v>
      </c>
      <c r="G4" s="126" t="s">
        <v>326</v>
      </c>
      <c r="I4" s="126" t="s">
        <v>378</v>
      </c>
      <c r="K4" s="126" t="s">
        <v>369</v>
      </c>
      <c r="M4" s="128" t="s">
        <v>336</v>
      </c>
      <c r="O4" s="311" t="s">
        <v>339</v>
      </c>
      <c r="Q4" s="126" t="s">
        <v>344</v>
      </c>
      <c r="S4" s="126" t="s">
        <v>364</v>
      </c>
      <c r="U4" s="126" t="s">
        <v>246</v>
      </c>
      <c r="W4" s="126" t="s">
        <v>252</v>
      </c>
      <c r="Y4" s="126" t="s">
        <v>271</v>
      </c>
      <c r="AA4" s="89"/>
      <c r="AC4" s="89"/>
    </row>
    <row r="5" spans="1:29" x14ac:dyDescent="0.3">
      <c r="A5" s="126" t="s">
        <v>219</v>
      </c>
      <c r="C5" s="89" t="s">
        <v>311</v>
      </c>
      <c r="E5" s="126" t="s">
        <v>322</v>
      </c>
      <c r="G5" s="126" t="s">
        <v>327</v>
      </c>
      <c r="I5" s="89"/>
      <c r="K5" s="126" t="s">
        <v>370</v>
      </c>
      <c r="M5" s="89"/>
      <c r="O5" s="89"/>
      <c r="Q5" s="126" t="s">
        <v>345</v>
      </c>
      <c r="S5" s="126" t="s">
        <v>365</v>
      </c>
      <c r="U5" s="126" t="s">
        <v>250</v>
      </c>
      <c r="W5" s="126" t="s">
        <v>248</v>
      </c>
      <c r="Y5" s="126"/>
      <c r="AA5" s="89"/>
      <c r="AC5" s="89"/>
    </row>
    <row r="6" spans="1:29" x14ac:dyDescent="0.3">
      <c r="A6" s="126" t="s">
        <v>220</v>
      </c>
      <c r="C6" s="89" t="s">
        <v>312</v>
      </c>
      <c r="E6" s="128" t="s">
        <v>323</v>
      </c>
      <c r="G6" s="126" t="s">
        <v>328</v>
      </c>
      <c r="I6" s="89"/>
      <c r="K6" s="126" t="s">
        <v>371</v>
      </c>
      <c r="M6" s="89"/>
      <c r="O6" s="89"/>
      <c r="Q6" s="126" t="s">
        <v>346</v>
      </c>
      <c r="S6" s="89"/>
      <c r="U6" s="126" t="s">
        <v>254</v>
      </c>
      <c r="W6" s="89"/>
      <c r="Y6" s="126"/>
      <c r="AA6" s="89"/>
      <c r="AC6" s="89"/>
    </row>
    <row r="7" spans="1:29" x14ac:dyDescent="0.3">
      <c r="A7" s="126" t="s">
        <v>221</v>
      </c>
      <c r="C7" s="89" t="s">
        <v>314</v>
      </c>
      <c r="E7" s="89"/>
      <c r="G7" s="126" t="s">
        <v>329</v>
      </c>
      <c r="I7" s="89"/>
      <c r="K7" s="126" t="s">
        <v>372</v>
      </c>
      <c r="M7" s="89"/>
      <c r="O7" s="89"/>
      <c r="Q7" s="126" t="s">
        <v>347</v>
      </c>
      <c r="S7" s="89"/>
      <c r="U7" s="126" t="s">
        <v>251</v>
      </c>
      <c r="W7" s="89"/>
      <c r="Y7" s="126"/>
      <c r="AA7" s="89"/>
      <c r="AC7" s="89"/>
    </row>
    <row r="8" spans="1:29" x14ac:dyDescent="0.3">
      <c r="A8" s="126" t="s">
        <v>222</v>
      </c>
      <c r="C8" s="89" t="s">
        <v>315</v>
      </c>
      <c r="E8" s="89"/>
      <c r="G8" s="126" t="s">
        <v>330</v>
      </c>
      <c r="I8" s="89"/>
      <c r="K8" s="128" t="s">
        <v>373</v>
      </c>
      <c r="M8" s="89"/>
      <c r="O8" s="89"/>
      <c r="Q8" s="126" t="s">
        <v>348</v>
      </c>
      <c r="S8" s="89"/>
      <c r="U8" s="126" t="s">
        <v>247</v>
      </c>
      <c r="W8" s="89"/>
      <c r="Y8" s="126"/>
      <c r="AA8" s="89"/>
      <c r="AC8" s="89"/>
    </row>
    <row r="9" spans="1:29" x14ac:dyDescent="0.3">
      <c r="A9" s="126" t="s">
        <v>223</v>
      </c>
      <c r="C9" s="89" t="s">
        <v>316</v>
      </c>
      <c r="E9" s="89"/>
      <c r="G9" s="128" t="s">
        <v>331</v>
      </c>
      <c r="I9" s="89"/>
      <c r="K9" s="126" t="s">
        <v>374</v>
      </c>
      <c r="M9" s="89"/>
      <c r="O9" s="89"/>
      <c r="Q9" s="126" t="s">
        <v>353</v>
      </c>
      <c r="S9" s="89"/>
      <c r="U9" s="126" t="s">
        <v>252</v>
      </c>
      <c r="W9" s="89"/>
      <c r="Y9" s="126"/>
      <c r="AA9" s="89"/>
      <c r="AC9" s="89"/>
    </row>
    <row r="10" spans="1:29" x14ac:dyDescent="0.3">
      <c r="A10" s="128" t="s">
        <v>224</v>
      </c>
      <c r="C10" s="89" t="s">
        <v>317</v>
      </c>
      <c r="E10" s="89"/>
      <c r="G10" s="128" t="s">
        <v>332</v>
      </c>
      <c r="I10" s="89"/>
      <c r="K10" s="126" t="s">
        <v>375</v>
      </c>
      <c r="M10" s="89"/>
      <c r="O10" s="89"/>
      <c r="Q10" s="126" t="s">
        <v>350</v>
      </c>
      <c r="S10" s="89"/>
      <c r="U10" s="128" t="s">
        <v>248</v>
      </c>
      <c r="W10" s="89"/>
      <c r="Y10" s="126"/>
      <c r="AA10" s="89"/>
      <c r="AC10" s="89"/>
    </row>
    <row r="11" spans="1:29" x14ac:dyDescent="0.3">
      <c r="A11" s="176" t="s">
        <v>225</v>
      </c>
      <c r="C11" s="89" t="s">
        <v>318</v>
      </c>
      <c r="E11" s="89"/>
      <c r="G11" s="89"/>
      <c r="I11" s="89"/>
      <c r="K11" s="89"/>
      <c r="M11" s="89"/>
      <c r="O11" s="89"/>
      <c r="Q11" s="126" t="s">
        <v>351</v>
      </c>
      <c r="S11" s="89"/>
      <c r="U11" s="89"/>
      <c r="W11" s="89"/>
      <c r="Y11" s="128"/>
      <c r="AA11" s="89"/>
      <c r="AC11" s="89"/>
    </row>
    <row r="12" spans="1:29" x14ac:dyDescent="0.3">
      <c r="A12" s="89"/>
      <c r="C12" s="89"/>
      <c r="E12" s="89"/>
      <c r="G12" s="89"/>
      <c r="I12" s="89"/>
      <c r="K12" s="89"/>
      <c r="M12" s="89"/>
      <c r="O12" s="89"/>
      <c r="Q12" s="126" t="s">
        <v>352</v>
      </c>
      <c r="S12" s="89"/>
      <c r="U12" s="89"/>
      <c r="W12" s="89"/>
      <c r="Y12" s="89"/>
      <c r="AA12" s="89"/>
      <c r="AC12" s="89"/>
    </row>
    <row r="13" spans="1:29" x14ac:dyDescent="0.3">
      <c r="A13" s="89"/>
      <c r="C13" s="89"/>
      <c r="E13" s="89"/>
      <c r="G13" s="89"/>
      <c r="I13" s="89"/>
      <c r="K13" s="89"/>
      <c r="M13" s="89"/>
      <c r="O13" s="89"/>
      <c r="Q13" s="126" t="s">
        <v>349</v>
      </c>
      <c r="S13" s="89"/>
      <c r="U13" s="89"/>
      <c r="W13" s="89"/>
      <c r="Y13" s="89"/>
      <c r="AA13" s="89"/>
      <c r="AC13" s="89"/>
    </row>
    <row r="14" spans="1:29" x14ac:dyDescent="0.3">
      <c r="A14" s="89"/>
      <c r="C14" s="89"/>
      <c r="E14" s="89"/>
      <c r="G14" s="89"/>
      <c r="I14" s="89"/>
      <c r="K14" s="89"/>
      <c r="M14" s="89"/>
      <c r="O14" s="89"/>
      <c r="Q14" s="126" t="s">
        <v>354</v>
      </c>
      <c r="S14" s="89"/>
      <c r="U14" s="89"/>
      <c r="W14" s="89"/>
      <c r="Y14" s="89"/>
      <c r="AA14" s="89"/>
      <c r="AC14" s="89"/>
    </row>
    <row r="15" spans="1:29" x14ac:dyDescent="0.3">
      <c r="A15" s="89"/>
      <c r="C15" s="89"/>
      <c r="E15" s="89"/>
      <c r="G15" s="89"/>
      <c r="I15" s="89"/>
      <c r="K15" s="89"/>
      <c r="M15" s="89"/>
      <c r="O15" s="89"/>
      <c r="Q15" s="126" t="s">
        <v>355</v>
      </c>
      <c r="S15" s="89"/>
      <c r="U15" s="89"/>
      <c r="W15" s="89"/>
      <c r="Y15" s="89"/>
      <c r="AA15" s="89"/>
      <c r="AC15" s="89"/>
    </row>
    <row r="16" spans="1:29" x14ac:dyDescent="0.3">
      <c r="A16" s="89"/>
      <c r="C16" s="89"/>
      <c r="E16" s="89"/>
      <c r="G16" s="89"/>
      <c r="I16" s="89"/>
      <c r="K16" s="89"/>
      <c r="M16" s="89"/>
      <c r="O16" s="89"/>
      <c r="Q16" s="126" t="s">
        <v>356</v>
      </c>
      <c r="S16" s="89"/>
      <c r="U16" s="89"/>
      <c r="W16" s="89"/>
      <c r="Y16" s="89"/>
      <c r="AA16" s="89"/>
      <c r="AC16" s="89"/>
    </row>
    <row r="17" spans="1:29" x14ac:dyDescent="0.3">
      <c r="A17" s="89"/>
      <c r="C17" s="89"/>
      <c r="E17" s="89"/>
      <c r="G17" s="89"/>
      <c r="I17" s="89"/>
      <c r="K17" s="89"/>
      <c r="M17" s="89"/>
      <c r="O17" s="89"/>
      <c r="Q17" s="126" t="s">
        <v>357</v>
      </c>
      <c r="S17" s="89"/>
      <c r="U17" s="89"/>
      <c r="W17" s="89"/>
      <c r="Y17" s="89"/>
      <c r="AA17" s="89"/>
      <c r="AC17" s="89"/>
    </row>
    <row r="18" spans="1:29" x14ac:dyDescent="0.3">
      <c r="A18" s="89"/>
      <c r="C18" s="89"/>
      <c r="E18" s="89"/>
      <c r="G18" s="89"/>
      <c r="I18" s="89"/>
      <c r="K18" s="89"/>
      <c r="M18" s="89"/>
      <c r="O18" s="89"/>
      <c r="Q18" s="126" t="s">
        <v>358</v>
      </c>
      <c r="S18" s="89"/>
      <c r="U18" s="89"/>
      <c r="W18" s="89"/>
      <c r="Y18" s="89"/>
      <c r="AA18" s="89"/>
      <c r="AC18" s="89"/>
    </row>
    <row r="19" spans="1:29" x14ac:dyDescent="0.3">
      <c r="A19" s="89"/>
      <c r="C19" s="89"/>
      <c r="E19" s="89"/>
      <c r="G19" s="89"/>
      <c r="I19" s="89"/>
      <c r="K19" s="89"/>
      <c r="M19" s="89"/>
      <c r="O19" s="89"/>
      <c r="Q19" s="126" t="s">
        <v>359</v>
      </c>
      <c r="S19" s="89"/>
      <c r="U19" s="89"/>
      <c r="W19" s="89"/>
      <c r="Y19" s="89"/>
      <c r="AA19" s="89"/>
      <c r="AC19" s="89"/>
    </row>
    <row r="20" spans="1:29" x14ac:dyDescent="0.3">
      <c r="A20" s="89"/>
      <c r="C20" s="89"/>
      <c r="E20" s="89"/>
      <c r="G20" s="89"/>
      <c r="I20" s="89"/>
      <c r="K20" s="89"/>
      <c r="M20" s="89"/>
      <c r="O20" s="89"/>
      <c r="Q20" s="128" t="s">
        <v>360</v>
      </c>
      <c r="S20" s="89"/>
      <c r="U20" s="89"/>
      <c r="W20" s="89"/>
      <c r="Y20" s="89"/>
      <c r="AA20" s="89"/>
      <c r="AC20" s="89"/>
    </row>
    <row r="21" spans="1:29" x14ac:dyDescent="0.3">
      <c r="A21" s="89"/>
      <c r="C21" s="89"/>
      <c r="E21" s="89"/>
      <c r="G21" s="89"/>
      <c r="I21" s="89"/>
      <c r="K21" s="89"/>
      <c r="M21" s="89"/>
      <c r="O21" s="89"/>
      <c r="Q21" s="128" t="s">
        <v>361</v>
      </c>
      <c r="S21" s="89"/>
      <c r="U21" s="89"/>
      <c r="W21" s="89"/>
      <c r="Y21" s="89"/>
      <c r="AA21" s="89"/>
      <c r="AC21" s="89"/>
    </row>
    <row r="22" spans="1:29" x14ac:dyDescent="0.3">
      <c r="A22" s="89"/>
      <c r="C22" s="89"/>
      <c r="E22" s="89"/>
      <c r="G22" s="89"/>
      <c r="I22" s="89"/>
      <c r="K22" s="89"/>
      <c r="M22" s="89"/>
      <c r="O22" s="89"/>
      <c r="Q22" s="89"/>
      <c r="S22" s="89"/>
      <c r="U22" s="89"/>
      <c r="W22" s="89"/>
      <c r="Y22" s="89"/>
      <c r="AA22" s="89"/>
      <c r="AC22" s="89"/>
    </row>
    <row r="23" spans="1:29" x14ac:dyDescent="0.3">
      <c r="A23" s="89"/>
      <c r="C23" s="89"/>
      <c r="E23" s="89"/>
      <c r="G23" s="89"/>
      <c r="I23" s="89"/>
      <c r="K23" s="89"/>
      <c r="M23" s="89"/>
      <c r="O23" s="89"/>
      <c r="Q23" s="89"/>
      <c r="S23" s="89"/>
      <c r="U23" s="89"/>
      <c r="W23" s="89"/>
      <c r="Y23" s="89"/>
      <c r="AA23" s="89"/>
      <c r="AC23" s="89"/>
    </row>
    <row r="24" spans="1:29" x14ac:dyDescent="0.3">
      <c r="A24" s="89"/>
      <c r="C24" s="89"/>
      <c r="E24" s="89"/>
      <c r="G24" s="89"/>
      <c r="I24" s="89"/>
      <c r="K24" s="89"/>
      <c r="M24" s="89"/>
      <c r="O24" s="89"/>
      <c r="Q24" s="89"/>
      <c r="S24" s="89"/>
      <c r="U24" s="89"/>
      <c r="W24" s="89"/>
      <c r="Y24" s="89"/>
      <c r="AA24" s="89"/>
      <c r="AC24" s="89"/>
    </row>
    <row r="25" spans="1:29" x14ac:dyDescent="0.3">
      <c r="A25" s="89"/>
      <c r="C25" s="89"/>
      <c r="E25" s="89"/>
      <c r="G25" s="89"/>
      <c r="I25" s="89"/>
      <c r="K25" s="89"/>
      <c r="M25" s="89"/>
      <c r="O25" s="89"/>
      <c r="Q25" s="89"/>
      <c r="S25" s="89"/>
      <c r="U25" s="89"/>
      <c r="W25" s="89"/>
      <c r="Y25" s="89"/>
      <c r="AA25" s="89"/>
      <c r="AC25" s="89"/>
    </row>
    <row r="28" spans="1:29" x14ac:dyDescent="0.3">
      <c r="A28" s="112" t="s">
        <v>379</v>
      </c>
      <c r="C28" s="112" t="s">
        <v>447</v>
      </c>
    </row>
    <row r="29" spans="1:29" x14ac:dyDescent="0.3">
      <c r="A29" s="82" t="s">
        <v>379</v>
      </c>
      <c r="C29" s="82" t="s">
        <v>237</v>
      </c>
    </row>
    <row r="32" spans="1:29" x14ac:dyDescent="0.3">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row>
    <row r="33" spans="2:24" x14ac:dyDescent="0.3">
      <c r="J33" s="1042" t="s">
        <v>448</v>
      </c>
      <c r="K33" s="1042"/>
    </row>
    <row r="34" spans="2:24" x14ac:dyDescent="0.3">
      <c r="B34" s="1043" t="s">
        <v>306</v>
      </c>
      <c r="C34" s="1044"/>
      <c r="D34" s="1045"/>
      <c r="F34" s="1043" t="s">
        <v>449</v>
      </c>
      <c r="G34" s="1044"/>
      <c r="H34" s="1045"/>
      <c r="J34" s="112" t="s">
        <v>450</v>
      </c>
      <c r="K34" s="112" t="s">
        <v>451</v>
      </c>
      <c r="M34" s="936" t="s">
        <v>452</v>
      </c>
      <c r="N34" s="936"/>
      <c r="Q34" s="1041" t="s">
        <v>453</v>
      </c>
      <c r="R34" s="1041"/>
      <c r="S34" s="1041"/>
      <c r="T34" s="1041"/>
    </row>
    <row r="35" spans="2:24" x14ac:dyDescent="0.3">
      <c r="B35" s="64" t="s">
        <v>97</v>
      </c>
      <c r="C35" s="112" t="s">
        <v>454</v>
      </c>
      <c r="D35" s="112" t="s">
        <v>455</v>
      </c>
      <c r="F35" s="112" t="s">
        <v>454</v>
      </c>
      <c r="G35" s="64" t="s">
        <v>456</v>
      </c>
      <c r="H35" s="112" t="s">
        <v>457</v>
      </c>
      <c r="J35" s="82" t="s">
        <v>214</v>
      </c>
      <c r="K35" s="4">
        <v>1</v>
      </c>
      <c r="M35" s="112" t="s">
        <v>458</v>
      </c>
      <c r="N35" s="112" t="s">
        <v>457</v>
      </c>
      <c r="Q35" s="112" t="s">
        <v>459</v>
      </c>
      <c r="R35" s="112" t="s">
        <v>460</v>
      </c>
      <c r="S35" s="112" t="s">
        <v>461</v>
      </c>
      <c r="T35" s="112" t="s">
        <v>462</v>
      </c>
      <c r="W35" s="261" t="s">
        <v>463</v>
      </c>
      <c r="X35" s="262" t="s">
        <v>464</v>
      </c>
    </row>
    <row r="36" spans="2:24" ht="43.5" customHeight="1" x14ac:dyDescent="0.3">
      <c r="B36" s="82" t="s">
        <v>334</v>
      </c>
      <c r="C36" s="82" t="s">
        <v>465</v>
      </c>
      <c r="D36" s="4">
        <v>1.1499999999999999</v>
      </c>
      <c r="F36" s="82" t="s">
        <v>106</v>
      </c>
      <c r="G36" s="82" t="s">
        <v>466</v>
      </c>
      <c r="H36" s="4">
        <v>1.1499999999999999</v>
      </c>
      <c r="J36" s="82" t="s">
        <v>216</v>
      </c>
      <c r="K36" s="4">
        <v>0.67</v>
      </c>
      <c r="M36" s="557" t="s">
        <v>467</v>
      </c>
      <c r="N36" s="557">
        <v>1</v>
      </c>
      <c r="Q36" s="4" t="s">
        <v>468</v>
      </c>
      <c r="R36" s="4">
        <v>0.3</v>
      </c>
      <c r="S36" s="4">
        <f>R36*12</f>
        <v>3.5999999999999996</v>
      </c>
      <c r="T36" s="83">
        <f>3.14*(S36*S36)/10000</f>
        <v>4.0694399999999997E-3</v>
      </c>
      <c r="W36" s="89" t="s">
        <v>469</v>
      </c>
      <c r="X36" s="89" t="s">
        <v>470</v>
      </c>
    </row>
    <row r="37" spans="2:24" ht="55.5" customHeight="1" x14ac:dyDescent="0.3">
      <c r="B37" s="82" t="s">
        <v>216</v>
      </c>
      <c r="C37" s="82" t="s">
        <v>471</v>
      </c>
      <c r="D37" s="4">
        <v>1.1000000000000001</v>
      </c>
      <c r="F37" s="82" t="s">
        <v>126</v>
      </c>
      <c r="G37" s="82" t="s">
        <v>472</v>
      </c>
      <c r="H37" s="4">
        <v>1</v>
      </c>
      <c r="J37" s="82" t="s">
        <v>334</v>
      </c>
      <c r="K37" s="4">
        <v>0.33</v>
      </c>
      <c r="M37" s="557" t="s">
        <v>473</v>
      </c>
      <c r="N37" s="557">
        <v>0.75</v>
      </c>
      <c r="Q37" s="4" t="s">
        <v>216</v>
      </c>
      <c r="R37" s="4">
        <v>0.9</v>
      </c>
      <c r="S37" s="4">
        <f>R37*12</f>
        <v>10.8</v>
      </c>
      <c r="T37" s="83">
        <f>3.14*(S37*S37)/10000</f>
        <v>3.6624960000000005E-2</v>
      </c>
      <c r="W37" s="89" t="s">
        <v>474</v>
      </c>
      <c r="X37" s="89" t="s">
        <v>475</v>
      </c>
    </row>
    <row r="38" spans="2:24" ht="28.8" customHeight="1" x14ac:dyDescent="0.3">
      <c r="B38" s="88" t="s">
        <v>214</v>
      </c>
      <c r="C38" s="82" t="s">
        <v>476</v>
      </c>
      <c r="D38" s="4">
        <v>1</v>
      </c>
      <c r="F38" s="82"/>
      <c r="G38" s="82"/>
      <c r="H38" s="4"/>
      <c r="J38" s="82" t="s">
        <v>477</v>
      </c>
      <c r="K38" s="4">
        <v>0.1</v>
      </c>
      <c r="M38" s="557" t="s">
        <v>478</v>
      </c>
      <c r="N38" s="557">
        <v>0.5</v>
      </c>
      <c r="Q38" s="4" t="s">
        <v>479</v>
      </c>
      <c r="R38" s="4">
        <v>1.3</v>
      </c>
      <c r="S38" s="4">
        <f>R38*12</f>
        <v>15.600000000000001</v>
      </c>
      <c r="T38" s="83">
        <f>3.14*(S38*S38)/10000</f>
        <v>7.6415040000000017E-2</v>
      </c>
      <c r="W38" s="89" t="s">
        <v>480</v>
      </c>
      <c r="X38" s="89" t="s">
        <v>481</v>
      </c>
    </row>
    <row r="39" spans="2:24" x14ac:dyDescent="0.3">
      <c r="B39" s="88" t="s">
        <v>382</v>
      </c>
      <c r="C39" s="82" t="s">
        <v>482</v>
      </c>
      <c r="D39" s="4">
        <v>1</v>
      </c>
      <c r="W39" s="89" t="s">
        <v>483</v>
      </c>
      <c r="X39" s="89" t="s">
        <v>484</v>
      </c>
    </row>
    <row r="40" spans="2:24" x14ac:dyDescent="0.3">
      <c r="W40" s="89" t="s">
        <v>485</v>
      </c>
      <c r="X40" s="89" t="s">
        <v>486</v>
      </c>
    </row>
    <row r="41" spans="2:24" x14ac:dyDescent="0.3">
      <c r="W41" s="89" t="s">
        <v>487</v>
      </c>
      <c r="X41" s="89" t="s">
        <v>488</v>
      </c>
    </row>
    <row r="42" spans="2:24" x14ac:dyDescent="0.3">
      <c r="W42" s="89" t="s">
        <v>489</v>
      </c>
      <c r="X42" s="89" t="s">
        <v>490</v>
      </c>
    </row>
    <row r="43" spans="2:24" x14ac:dyDescent="0.3">
      <c r="W43" s="89" t="s">
        <v>491</v>
      </c>
      <c r="X43" s="89" t="s">
        <v>492</v>
      </c>
    </row>
    <row r="44" spans="2:24" x14ac:dyDescent="0.3">
      <c r="W44" s="89" t="s">
        <v>493</v>
      </c>
      <c r="X44" s="89" t="s">
        <v>494</v>
      </c>
    </row>
    <row r="45" spans="2:24" ht="28.5" customHeight="1" x14ac:dyDescent="0.55000000000000004">
      <c r="B45" s="970" t="s">
        <v>495</v>
      </c>
      <c r="C45" s="1038"/>
      <c r="D45" s="1039"/>
      <c r="F45" s="970" t="s">
        <v>496</v>
      </c>
      <c r="G45" s="1039"/>
      <c r="I45" s="1040" t="s">
        <v>497</v>
      </c>
      <c r="J45" s="1040"/>
      <c r="K45" s="1040"/>
      <c r="M45" s="1041" t="s">
        <v>104</v>
      </c>
      <c r="N45" s="1041"/>
      <c r="O45" s="1041"/>
      <c r="P45" s="1041"/>
      <c r="S45" s="970" t="s">
        <v>498</v>
      </c>
      <c r="T45" s="1038"/>
      <c r="U45" s="1039"/>
      <c r="W45" s="89" t="s">
        <v>499</v>
      </c>
      <c r="X45" s="89" t="s">
        <v>500</v>
      </c>
    </row>
    <row r="46" spans="2:24" ht="43.2" customHeight="1" x14ac:dyDescent="0.3">
      <c r="B46" s="64" t="s">
        <v>501</v>
      </c>
      <c r="C46" s="64" t="s">
        <v>502</v>
      </c>
      <c r="D46" s="64" t="s">
        <v>503</v>
      </c>
      <c r="F46" s="64" t="s">
        <v>504</v>
      </c>
      <c r="G46" s="64" t="s">
        <v>505</v>
      </c>
      <c r="I46" s="64" t="s">
        <v>506</v>
      </c>
      <c r="J46" s="64" t="s">
        <v>507</v>
      </c>
      <c r="K46" s="64" t="s">
        <v>508</v>
      </c>
      <c r="M46" s="112" t="s">
        <v>459</v>
      </c>
      <c r="N46" s="112" t="s">
        <v>460</v>
      </c>
      <c r="O46" s="112" t="s">
        <v>461</v>
      </c>
      <c r="P46" s="112" t="s">
        <v>509</v>
      </c>
      <c r="S46" s="64" t="s">
        <v>501</v>
      </c>
      <c r="T46" s="64" t="s">
        <v>502</v>
      </c>
      <c r="U46" s="64" t="s">
        <v>503</v>
      </c>
      <c r="W46" s="89" t="s">
        <v>510</v>
      </c>
      <c r="X46" s="89" t="s">
        <v>511</v>
      </c>
    </row>
    <row r="47" spans="2:24" ht="57.45" customHeight="1" x14ac:dyDescent="0.3">
      <c r="B47" s="4" t="s">
        <v>216</v>
      </c>
      <c r="C47" s="4">
        <v>4</v>
      </c>
      <c r="D47" s="93" t="s">
        <v>308</v>
      </c>
      <c r="F47" s="4" t="s">
        <v>398</v>
      </c>
      <c r="G47" s="4">
        <v>3</v>
      </c>
      <c r="I47" s="95">
        <v>0</v>
      </c>
      <c r="J47" s="95">
        <v>100</v>
      </c>
      <c r="K47" s="96">
        <v>1</v>
      </c>
      <c r="M47" s="4" t="s">
        <v>468</v>
      </c>
      <c r="N47" s="4">
        <v>0.3</v>
      </c>
      <c r="O47" s="4">
        <f>N47*12</f>
        <v>3.5999999999999996</v>
      </c>
      <c r="P47" s="83">
        <f>3.14*(O47*O47)</f>
        <v>40.694399999999995</v>
      </c>
      <c r="S47" s="4" t="s">
        <v>216</v>
      </c>
      <c r="T47" s="4">
        <v>4</v>
      </c>
      <c r="U47" s="82" t="s">
        <v>308</v>
      </c>
      <c r="W47" s="89" t="s">
        <v>512</v>
      </c>
      <c r="X47" s="89" t="s">
        <v>513</v>
      </c>
    </row>
    <row r="48" spans="2:24" ht="43.2" customHeight="1" x14ac:dyDescent="0.3">
      <c r="B48" s="4" t="s">
        <v>214</v>
      </c>
      <c r="C48" s="4">
        <v>2</v>
      </c>
      <c r="D48" s="93" t="s">
        <v>313</v>
      </c>
      <c r="F48" s="4" t="s">
        <v>125</v>
      </c>
      <c r="G48" s="4">
        <v>2</v>
      </c>
      <c r="I48" s="95">
        <v>1</v>
      </c>
      <c r="J48" s="95">
        <v>96.5</v>
      </c>
      <c r="K48" s="96">
        <v>0.96499999999999997</v>
      </c>
      <c r="M48" s="4" t="s">
        <v>216</v>
      </c>
      <c r="N48" s="4">
        <v>0.6</v>
      </c>
      <c r="O48" s="4">
        <v>7.2</v>
      </c>
      <c r="P48" s="83">
        <f>3.14*(O48*O48)</f>
        <v>162.77760000000001</v>
      </c>
      <c r="S48" s="4" t="s">
        <v>214</v>
      </c>
      <c r="T48" s="4">
        <v>2</v>
      </c>
      <c r="U48" s="82" t="s">
        <v>313</v>
      </c>
      <c r="W48" s="89" t="s">
        <v>514</v>
      </c>
      <c r="X48" s="89" t="s">
        <v>515</v>
      </c>
    </row>
    <row r="49" spans="2:24" ht="28.8" customHeight="1" x14ac:dyDescent="0.3">
      <c r="B49" s="4" t="s">
        <v>342</v>
      </c>
      <c r="C49" s="4">
        <v>0</v>
      </c>
      <c r="D49" s="93" t="s">
        <v>343</v>
      </c>
      <c r="F49" s="82" t="s">
        <v>399</v>
      </c>
      <c r="G49" s="4">
        <v>1</v>
      </c>
      <c r="I49" s="95">
        <v>2</v>
      </c>
      <c r="J49" s="95">
        <v>93.122500000000002</v>
      </c>
      <c r="K49" s="96">
        <v>0.93122499999999997</v>
      </c>
      <c r="M49" s="4" t="s">
        <v>479</v>
      </c>
      <c r="N49" s="4">
        <v>0.9</v>
      </c>
      <c r="O49" s="4">
        <v>10.8</v>
      </c>
      <c r="P49" s="83">
        <f>3.14*(O49*O49)</f>
        <v>366.24960000000004</v>
      </c>
      <c r="S49" s="4" t="s">
        <v>342</v>
      </c>
      <c r="T49" s="4">
        <v>1</v>
      </c>
      <c r="U49" s="82" t="s">
        <v>343</v>
      </c>
      <c r="W49" s="89" t="s">
        <v>516</v>
      </c>
      <c r="X49" s="89" t="s">
        <v>517</v>
      </c>
    </row>
    <row r="50" spans="2:24" ht="57.45" customHeight="1" x14ac:dyDescent="0.3">
      <c r="B50" s="4" t="s">
        <v>334</v>
      </c>
      <c r="C50" s="4">
        <v>6</v>
      </c>
      <c r="D50" s="93" t="s">
        <v>308</v>
      </c>
      <c r="F50" s="82" t="s">
        <v>400</v>
      </c>
      <c r="G50" s="4">
        <v>1</v>
      </c>
      <c r="I50" s="95">
        <v>3</v>
      </c>
      <c r="J50" s="95">
        <v>89.863212500000003</v>
      </c>
      <c r="K50" s="96">
        <v>0.898632125</v>
      </c>
      <c r="M50" s="4" t="s">
        <v>518</v>
      </c>
      <c r="N50" s="4">
        <v>1.3</v>
      </c>
      <c r="O50" s="4">
        <v>15.6</v>
      </c>
      <c r="P50" s="83">
        <f>3.14*(O50*O50)</f>
        <v>764.15039999999999</v>
      </c>
      <c r="S50" s="4" t="s">
        <v>334</v>
      </c>
      <c r="T50" s="4">
        <v>6</v>
      </c>
      <c r="U50" s="82" t="s">
        <v>308</v>
      </c>
      <c r="W50" s="89" t="s">
        <v>519</v>
      </c>
      <c r="X50" s="89" t="s">
        <v>520</v>
      </c>
    </row>
    <row r="51" spans="2:24" x14ac:dyDescent="0.3">
      <c r="F51" s="4" t="s">
        <v>401</v>
      </c>
      <c r="G51" s="4">
        <v>0</v>
      </c>
      <c r="I51" s="95">
        <v>4</v>
      </c>
      <c r="J51" s="95">
        <v>86.718000059999994</v>
      </c>
      <c r="K51" s="96">
        <v>0.8671800006</v>
      </c>
      <c r="W51" s="89" t="s">
        <v>521</v>
      </c>
      <c r="X51" s="89"/>
    </row>
    <row r="52" spans="2:24" x14ac:dyDescent="0.3">
      <c r="I52" s="95">
        <v>5</v>
      </c>
      <c r="J52" s="95">
        <v>83.682870059999999</v>
      </c>
      <c r="K52" s="96">
        <v>0.83682870060000003</v>
      </c>
      <c r="W52" s="89" t="s">
        <v>522</v>
      </c>
      <c r="X52" s="89"/>
    </row>
    <row r="53" spans="2:24" x14ac:dyDescent="0.3">
      <c r="I53" s="95">
        <v>6</v>
      </c>
      <c r="J53" s="95">
        <v>80.753969609999999</v>
      </c>
      <c r="K53" s="96">
        <v>0.80753969609999998</v>
      </c>
      <c r="W53" s="89" t="s">
        <v>523</v>
      </c>
      <c r="X53" s="89"/>
    </row>
    <row r="54" spans="2:24" x14ac:dyDescent="0.3">
      <c r="I54" s="95">
        <v>7</v>
      </c>
      <c r="J54" s="95">
        <v>77.927580669999998</v>
      </c>
      <c r="K54" s="96">
        <v>0.77927580669999996</v>
      </c>
      <c r="W54" s="89" t="s">
        <v>524</v>
      </c>
      <c r="X54" s="89"/>
    </row>
    <row r="55" spans="2:24" ht="14.55" customHeight="1" x14ac:dyDescent="0.3">
      <c r="I55" s="95">
        <v>8</v>
      </c>
      <c r="J55" s="95">
        <v>75.200115350000004</v>
      </c>
      <c r="K55" s="96">
        <v>0.75200115349999996</v>
      </c>
      <c r="W55" s="89" t="s">
        <v>525</v>
      </c>
      <c r="X55" s="89"/>
    </row>
    <row r="56" spans="2:24" x14ac:dyDescent="0.3">
      <c r="I56" s="95">
        <v>9</v>
      </c>
      <c r="J56" s="95">
        <v>72.568111310000006</v>
      </c>
      <c r="K56" s="96">
        <v>0.72568111310000005</v>
      </c>
      <c r="W56" s="89" t="s">
        <v>526</v>
      </c>
      <c r="X56" s="89"/>
    </row>
    <row r="57" spans="2:24" x14ac:dyDescent="0.3">
      <c r="I57" s="95">
        <v>10</v>
      </c>
      <c r="J57" s="95">
        <v>70.028227419999993</v>
      </c>
      <c r="K57" s="96">
        <v>0.7002822742</v>
      </c>
      <c r="W57" s="89" t="s">
        <v>527</v>
      </c>
      <c r="X57" s="89"/>
    </row>
    <row r="58" spans="2:24" x14ac:dyDescent="0.3">
      <c r="I58" s="95">
        <v>11</v>
      </c>
      <c r="J58" s="95">
        <v>67.577239460000001</v>
      </c>
      <c r="K58" s="96">
        <v>0.67577239460000005</v>
      </c>
      <c r="W58" s="89" t="s">
        <v>528</v>
      </c>
      <c r="X58" s="89"/>
    </row>
    <row r="59" spans="2:24" x14ac:dyDescent="0.3">
      <c r="I59" s="95">
        <v>12</v>
      </c>
      <c r="J59" s="95">
        <v>65.212036069999996</v>
      </c>
      <c r="K59" s="96">
        <v>0.65212036070000001</v>
      </c>
      <c r="W59" s="89" t="s">
        <v>529</v>
      </c>
      <c r="X59" s="89"/>
    </row>
    <row r="60" spans="2:24" x14ac:dyDescent="0.3">
      <c r="I60" s="95">
        <v>13</v>
      </c>
      <c r="J60" s="95">
        <v>62.929614809999997</v>
      </c>
      <c r="K60" s="96">
        <v>0.62929614810000001</v>
      </c>
      <c r="W60" s="89" t="s">
        <v>530</v>
      </c>
      <c r="X60" s="89"/>
    </row>
    <row r="61" spans="2:24" x14ac:dyDescent="0.3">
      <c r="I61" s="95">
        <v>14</v>
      </c>
      <c r="J61" s="95">
        <v>60.727078290000001</v>
      </c>
      <c r="K61" s="96">
        <v>0.60727078290000003</v>
      </c>
      <c r="W61" s="89" t="s">
        <v>531</v>
      </c>
      <c r="X61" s="89"/>
    </row>
    <row r="62" spans="2:24" x14ac:dyDescent="0.3">
      <c r="I62" s="95">
        <v>15</v>
      </c>
      <c r="J62" s="95">
        <v>58.601630550000003</v>
      </c>
      <c r="K62" s="96">
        <v>0.58601630549999995</v>
      </c>
      <c r="W62" s="89" t="s">
        <v>532</v>
      </c>
      <c r="X62" s="89"/>
    </row>
    <row r="63" spans="2:24" x14ac:dyDescent="0.3">
      <c r="I63" s="95">
        <v>16</v>
      </c>
      <c r="J63" s="95">
        <v>56.550573479999997</v>
      </c>
      <c r="K63" s="96">
        <v>0.56550573479999999</v>
      </c>
      <c r="W63" s="89" t="s">
        <v>533</v>
      </c>
      <c r="X63" s="89"/>
    </row>
    <row r="64" spans="2:24" x14ac:dyDescent="0.3">
      <c r="I64" s="95">
        <v>17</v>
      </c>
      <c r="J64" s="95">
        <v>54.571303409999999</v>
      </c>
      <c r="K64" s="96">
        <v>0.54571303410000005</v>
      </c>
      <c r="W64" s="89" t="s">
        <v>534</v>
      </c>
      <c r="X64" s="89"/>
    </row>
    <row r="65" spans="9:24" x14ac:dyDescent="0.3">
      <c r="I65" s="95">
        <v>18</v>
      </c>
      <c r="J65" s="95">
        <v>52.661307790000002</v>
      </c>
      <c r="K65" s="96">
        <v>0.5266130779</v>
      </c>
      <c r="W65" s="89" t="s">
        <v>535</v>
      </c>
      <c r="X65" s="89"/>
    </row>
    <row r="66" spans="9:24" x14ac:dyDescent="0.3">
      <c r="I66" s="95">
        <v>19</v>
      </c>
      <c r="J66" s="95">
        <v>50.818162020000003</v>
      </c>
      <c r="K66" s="96">
        <v>0.50818162020000002</v>
      </c>
      <c r="W66" s="89" t="s">
        <v>536</v>
      </c>
      <c r="X66" s="89"/>
    </row>
    <row r="67" spans="9:24" x14ac:dyDescent="0.3">
      <c r="I67" s="95">
        <v>20</v>
      </c>
      <c r="J67" s="95">
        <v>49.039526350000003</v>
      </c>
      <c r="K67" s="96">
        <v>0.49039526350000001</v>
      </c>
      <c r="W67" s="89" t="s">
        <v>537</v>
      </c>
      <c r="X67" s="89"/>
    </row>
    <row r="68" spans="9:24" x14ac:dyDescent="0.3">
      <c r="I68" s="95">
        <v>21</v>
      </c>
      <c r="J68" s="95">
        <v>47.323142930000003</v>
      </c>
      <c r="K68" s="96">
        <v>0.47323142930000001</v>
      </c>
      <c r="W68" s="89" t="s">
        <v>538</v>
      </c>
      <c r="X68" s="89"/>
    </row>
    <row r="69" spans="9:24" x14ac:dyDescent="0.3">
      <c r="I69" s="95">
        <v>22</v>
      </c>
      <c r="J69" s="95">
        <v>45.666832919999997</v>
      </c>
      <c r="K69" s="96">
        <v>0.4566683292</v>
      </c>
      <c r="W69" s="89" t="s">
        <v>539</v>
      </c>
      <c r="X69" s="89"/>
    </row>
    <row r="70" spans="9:24" x14ac:dyDescent="0.3">
      <c r="I70" s="95">
        <v>23</v>
      </c>
      <c r="J70" s="95">
        <v>44.068493770000003</v>
      </c>
      <c r="K70" s="96">
        <v>0.4406849377</v>
      </c>
      <c r="W70" s="89" t="s">
        <v>540</v>
      </c>
      <c r="X70" s="89"/>
    </row>
    <row r="71" spans="9:24" x14ac:dyDescent="0.3">
      <c r="I71" s="95">
        <v>24</v>
      </c>
      <c r="J71" s="95">
        <v>42.52609649</v>
      </c>
      <c r="K71" s="96">
        <v>0.42526096489999998</v>
      </c>
      <c r="W71" s="89" t="s">
        <v>541</v>
      </c>
      <c r="X71" s="89"/>
    </row>
    <row r="72" spans="9:24" x14ac:dyDescent="0.3">
      <c r="I72" s="95">
        <v>25</v>
      </c>
      <c r="J72" s="95">
        <v>41.037683110000003</v>
      </c>
      <c r="K72" s="96">
        <v>0.41037683110000001</v>
      </c>
      <c r="W72" s="89" t="s">
        <v>542</v>
      </c>
      <c r="X72" s="89"/>
    </row>
    <row r="73" spans="9:24" x14ac:dyDescent="0.3">
      <c r="I73" s="95">
        <v>26</v>
      </c>
      <c r="J73" s="95">
        <v>39.601364199999999</v>
      </c>
      <c r="K73" s="96">
        <v>0.396013642</v>
      </c>
      <c r="W73" s="89" t="s">
        <v>543</v>
      </c>
      <c r="X73" s="89"/>
    </row>
    <row r="74" spans="9:24" x14ac:dyDescent="0.3">
      <c r="I74" s="95">
        <v>27</v>
      </c>
      <c r="J74" s="95">
        <v>38.215316459999997</v>
      </c>
      <c r="K74" s="96">
        <v>0.38215316459999998</v>
      </c>
      <c r="W74" s="89" t="s">
        <v>544</v>
      </c>
      <c r="X74" s="89"/>
    </row>
    <row r="75" spans="9:24" x14ac:dyDescent="0.3">
      <c r="I75" s="95">
        <v>28</v>
      </c>
      <c r="J75" s="95">
        <v>36.877780379999997</v>
      </c>
      <c r="K75" s="96">
        <v>0.36877780380000003</v>
      </c>
      <c r="W75" s="89" t="s">
        <v>545</v>
      </c>
      <c r="X75" s="89"/>
    </row>
    <row r="76" spans="9:24" x14ac:dyDescent="0.3">
      <c r="I76" s="95">
        <v>29</v>
      </c>
      <c r="J76" s="95">
        <v>35.587058069999998</v>
      </c>
      <c r="K76" s="96">
        <v>0.35587058069999999</v>
      </c>
      <c r="W76" s="89" t="s">
        <v>546</v>
      </c>
      <c r="X76" s="89"/>
    </row>
    <row r="77" spans="9:24" x14ac:dyDescent="0.3">
      <c r="I77" s="95">
        <v>30</v>
      </c>
      <c r="J77" s="95">
        <v>34.34151104</v>
      </c>
      <c r="K77" s="96">
        <v>0.3434151104</v>
      </c>
      <c r="W77" s="89" t="s">
        <v>547</v>
      </c>
      <c r="X77" s="89"/>
    </row>
    <row r="78" spans="9:24" x14ac:dyDescent="0.3">
      <c r="I78" s="95">
        <v>31</v>
      </c>
      <c r="J78" s="95">
        <v>33.139558149999999</v>
      </c>
      <c r="K78" s="96">
        <v>0.33139558149999998</v>
      </c>
      <c r="W78" s="89" t="s">
        <v>548</v>
      </c>
      <c r="X78" s="89"/>
    </row>
    <row r="79" spans="9:24" x14ac:dyDescent="0.3">
      <c r="I79" s="95" t="s">
        <v>420</v>
      </c>
      <c r="J79" s="91">
        <v>31.979673609999999</v>
      </c>
      <c r="K79" s="96">
        <v>0.31979673609999998</v>
      </c>
      <c r="W79" s="89" t="s">
        <v>549</v>
      </c>
      <c r="X79" s="89"/>
    </row>
    <row r="80" spans="9:24" x14ac:dyDescent="0.3">
      <c r="I80" s="82" t="s">
        <v>403</v>
      </c>
      <c r="J80" s="82" t="s">
        <v>382</v>
      </c>
      <c r="K80" s="82" t="s">
        <v>382</v>
      </c>
      <c r="W80" s="89" t="s">
        <v>550</v>
      </c>
      <c r="X80" s="89"/>
    </row>
    <row r="81" spans="23:24" x14ac:dyDescent="0.3">
      <c r="W81" s="89" t="s">
        <v>551</v>
      </c>
      <c r="X81" s="89"/>
    </row>
    <row r="82" spans="23:24" x14ac:dyDescent="0.3">
      <c r="W82" s="89" t="s">
        <v>552</v>
      </c>
      <c r="X82" s="89"/>
    </row>
    <row r="83" spans="23:24" x14ac:dyDescent="0.3">
      <c r="W83" s="89" t="s">
        <v>553</v>
      </c>
      <c r="X83" s="89"/>
    </row>
    <row r="84" spans="23:24" x14ac:dyDescent="0.3">
      <c r="W84" s="89" t="s">
        <v>554</v>
      </c>
      <c r="X84" s="89"/>
    </row>
    <row r="85" spans="23:24" x14ac:dyDescent="0.3">
      <c r="W85" s="89" t="s">
        <v>555</v>
      </c>
      <c r="X85" s="89"/>
    </row>
    <row r="86" spans="23:24" x14ac:dyDescent="0.3">
      <c r="W86" s="89" t="s">
        <v>556</v>
      </c>
      <c r="X86" s="89"/>
    </row>
    <row r="87" spans="23:24" x14ac:dyDescent="0.3">
      <c r="W87" s="89" t="s">
        <v>557</v>
      </c>
      <c r="X87" s="89"/>
    </row>
    <row r="88" spans="23:24" x14ac:dyDescent="0.3">
      <c r="W88" s="89" t="s">
        <v>558</v>
      </c>
      <c r="X88" s="89"/>
    </row>
    <row r="89" spans="23:24" x14ac:dyDescent="0.3">
      <c r="W89" s="89" t="s">
        <v>559</v>
      </c>
      <c r="X89" s="89"/>
    </row>
    <row r="90" spans="23:24" x14ac:dyDescent="0.3">
      <c r="W90" s="89" t="s">
        <v>560</v>
      </c>
      <c r="X90" s="89"/>
    </row>
    <row r="91" spans="23:24" x14ac:dyDescent="0.3">
      <c r="W91" s="89" t="s">
        <v>561</v>
      </c>
      <c r="X91" s="89"/>
    </row>
    <row r="92" spans="23:24" x14ac:dyDescent="0.3">
      <c r="W92" s="89" t="s">
        <v>562</v>
      </c>
      <c r="X92" s="89"/>
    </row>
    <row r="93" spans="23:24" x14ac:dyDescent="0.3">
      <c r="W93" s="89" t="s">
        <v>563</v>
      </c>
      <c r="X93" s="89"/>
    </row>
    <row r="94" spans="23:24" x14ac:dyDescent="0.3">
      <c r="W94" s="89" t="s">
        <v>564</v>
      </c>
      <c r="X94" s="89"/>
    </row>
    <row r="95" spans="23:24" x14ac:dyDescent="0.3">
      <c r="W95" s="89" t="s">
        <v>565</v>
      </c>
      <c r="X95" s="89"/>
    </row>
    <row r="96" spans="23:24" x14ac:dyDescent="0.3">
      <c r="W96" s="89" t="s">
        <v>566</v>
      </c>
      <c r="X96" s="89"/>
    </row>
    <row r="97" spans="23:24" x14ac:dyDescent="0.3">
      <c r="W97" s="89" t="s">
        <v>567</v>
      </c>
      <c r="X97" s="89"/>
    </row>
    <row r="98" spans="23:24" x14ac:dyDescent="0.3">
      <c r="W98" s="89" t="s">
        <v>568</v>
      </c>
      <c r="X98" s="89"/>
    </row>
    <row r="99" spans="23:24" x14ac:dyDescent="0.3">
      <c r="W99" s="89" t="s">
        <v>569</v>
      </c>
      <c r="X99" s="89"/>
    </row>
    <row r="100" spans="23:24" x14ac:dyDescent="0.3">
      <c r="W100" s="89" t="s">
        <v>570</v>
      </c>
      <c r="X100" s="89"/>
    </row>
    <row r="101" spans="23:24" x14ac:dyDescent="0.3">
      <c r="W101" s="89" t="s">
        <v>571</v>
      </c>
      <c r="X101" s="89"/>
    </row>
    <row r="102" spans="23:24" x14ac:dyDescent="0.3">
      <c r="W102" s="89" t="s">
        <v>572</v>
      </c>
      <c r="X102" s="89"/>
    </row>
    <row r="103" spans="23:24" x14ac:dyDescent="0.3">
      <c r="W103" s="89" t="s">
        <v>573</v>
      </c>
      <c r="X103" s="89"/>
    </row>
    <row r="104" spans="23:24" x14ac:dyDescent="0.3">
      <c r="W104" s="89" t="s">
        <v>574</v>
      </c>
      <c r="X104" s="89"/>
    </row>
    <row r="105" spans="23:24" x14ac:dyDescent="0.3">
      <c r="W105" s="89" t="s">
        <v>575</v>
      </c>
      <c r="X105" s="89"/>
    </row>
    <row r="106" spans="23:24" x14ac:dyDescent="0.3">
      <c r="W106" s="89" t="s">
        <v>576</v>
      </c>
      <c r="X106" s="89"/>
    </row>
    <row r="107" spans="23:24" x14ac:dyDescent="0.3">
      <c r="W107" s="89" t="s">
        <v>577</v>
      </c>
      <c r="X107" s="89"/>
    </row>
    <row r="108" spans="23:24" x14ac:dyDescent="0.3">
      <c r="W108" s="89" t="s">
        <v>578</v>
      </c>
      <c r="X108" s="89"/>
    </row>
    <row r="109" spans="23:24" x14ac:dyDescent="0.3">
      <c r="W109" s="89" t="s">
        <v>579</v>
      </c>
      <c r="X109" s="89"/>
    </row>
    <row r="110" spans="23:24" x14ac:dyDescent="0.3">
      <c r="W110" s="89" t="s">
        <v>580</v>
      </c>
      <c r="X110" s="89"/>
    </row>
    <row r="111" spans="23:24" x14ac:dyDescent="0.3">
      <c r="W111" s="89" t="s">
        <v>581</v>
      </c>
      <c r="X111" s="89"/>
    </row>
    <row r="112" spans="23:24" x14ac:dyDescent="0.3">
      <c r="W112" s="89" t="s">
        <v>582</v>
      </c>
      <c r="X112" s="89"/>
    </row>
    <row r="113" spans="23:24" x14ac:dyDescent="0.3">
      <c r="W113" s="89" t="s">
        <v>583</v>
      </c>
      <c r="X113" s="89"/>
    </row>
    <row r="114" spans="23:24" x14ac:dyDescent="0.3">
      <c r="W114" s="89" t="s">
        <v>584</v>
      </c>
      <c r="X114" s="89"/>
    </row>
    <row r="115" spans="23:24" x14ac:dyDescent="0.3">
      <c r="W115" s="89" t="s">
        <v>585</v>
      </c>
      <c r="X115" s="89"/>
    </row>
    <row r="116" spans="23:24" x14ac:dyDescent="0.3">
      <c r="W116" s="89" t="s">
        <v>586</v>
      </c>
      <c r="X116" s="89"/>
    </row>
    <row r="117" spans="23:24" x14ac:dyDescent="0.3">
      <c r="W117" s="89" t="s">
        <v>587</v>
      </c>
      <c r="X117" s="89"/>
    </row>
    <row r="118" spans="23:24" x14ac:dyDescent="0.3">
      <c r="W118" s="89" t="s">
        <v>588</v>
      </c>
      <c r="X118" s="89"/>
    </row>
    <row r="119" spans="23:24" x14ac:dyDescent="0.3">
      <c r="W119" s="89" t="s">
        <v>589</v>
      </c>
      <c r="X119" s="89"/>
    </row>
    <row r="120" spans="23:24" x14ac:dyDescent="0.3">
      <c r="W120" s="89" t="s">
        <v>590</v>
      </c>
      <c r="X120" s="89"/>
    </row>
    <row r="121" spans="23:24" x14ac:dyDescent="0.3">
      <c r="W121" s="89" t="s">
        <v>591</v>
      </c>
      <c r="X121" s="89"/>
    </row>
    <row r="122" spans="23:24" x14ac:dyDescent="0.3">
      <c r="W122" s="89" t="s">
        <v>592</v>
      </c>
      <c r="X122" s="89"/>
    </row>
    <row r="123" spans="23:24" x14ac:dyDescent="0.3">
      <c r="W123" s="89" t="s">
        <v>593</v>
      </c>
      <c r="X123" s="89"/>
    </row>
    <row r="124" spans="23:24" x14ac:dyDescent="0.3">
      <c r="W124" s="89" t="s">
        <v>594</v>
      </c>
      <c r="X124" s="89"/>
    </row>
    <row r="125" spans="23:24" x14ac:dyDescent="0.3">
      <c r="W125" s="89" t="s">
        <v>595</v>
      </c>
      <c r="X125" s="89"/>
    </row>
    <row r="126" spans="23:24" x14ac:dyDescent="0.3">
      <c r="W126" s="89" t="s">
        <v>596</v>
      </c>
      <c r="X126" s="89"/>
    </row>
    <row r="127" spans="23:24" x14ac:dyDescent="0.3">
      <c r="W127" s="89" t="s">
        <v>597</v>
      </c>
      <c r="X127" s="89"/>
    </row>
    <row r="128" spans="23:24" x14ac:dyDescent="0.3">
      <c r="W128" s="89" t="s">
        <v>598</v>
      </c>
      <c r="X128" s="89"/>
    </row>
    <row r="129" spans="23:24" x14ac:dyDescent="0.3">
      <c r="W129" s="89" t="s">
        <v>599</v>
      </c>
      <c r="X129" s="89"/>
    </row>
    <row r="130" spans="23:24" x14ac:dyDescent="0.3">
      <c r="W130" s="89" t="s">
        <v>600</v>
      </c>
      <c r="X130" s="89"/>
    </row>
    <row r="131" spans="23:24" x14ac:dyDescent="0.3">
      <c r="W131" s="89" t="s">
        <v>601</v>
      </c>
      <c r="X131" s="89"/>
    </row>
    <row r="132" spans="23:24" x14ac:dyDescent="0.3">
      <c r="W132" s="89" t="s">
        <v>602</v>
      </c>
      <c r="X132" s="89"/>
    </row>
    <row r="133" spans="23:24" x14ac:dyDescent="0.3">
      <c r="W133" s="89" t="s">
        <v>603</v>
      </c>
      <c r="X133" s="89"/>
    </row>
    <row r="134" spans="23:24" x14ac:dyDescent="0.3">
      <c r="W134" s="89" t="s">
        <v>604</v>
      </c>
      <c r="X134" s="89"/>
    </row>
    <row r="135" spans="23:24" x14ac:dyDescent="0.3">
      <c r="W135" s="89" t="s">
        <v>605</v>
      </c>
      <c r="X135" s="89"/>
    </row>
    <row r="136" spans="23:24" x14ac:dyDescent="0.3">
      <c r="W136" s="89" t="s">
        <v>606</v>
      </c>
      <c r="X136" s="89"/>
    </row>
    <row r="137" spans="23:24" x14ac:dyDescent="0.3">
      <c r="W137" s="89" t="s">
        <v>607</v>
      </c>
      <c r="X137" s="89"/>
    </row>
    <row r="138" spans="23:24" x14ac:dyDescent="0.3">
      <c r="W138" s="89" t="s">
        <v>608</v>
      </c>
      <c r="X138" s="89"/>
    </row>
    <row r="139" spans="23:24" x14ac:dyDescent="0.3">
      <c r="W139" s="89" t="s">
        <v>609</v>
      </c>
      <c r="X139" s="89"/>
    </row>
    <row r="140" spans="23:24" x14ac:dyDescent="0.3">
      <c r="W140" s="89" t="s">
        <v>610</v>
      </c>
      <c r="X140" s="89"/>
    </row>
    <row r="141" spans="23:24" x14ac:dyDescent="0.3">
      <c r="W141" s="89" t="s">
        <v>611</v>
      </c>
      <c r="X141" s="89"/>
    </row>
    <row r="142" spans="23:24" x14ac:dyDescent="0.3">
      <c r="W142" s="89" t="s">
        <v>612</v>
      </c>
      <c r="X142" s="89"/>
    </row>
    <row r="143" spans="23:24" x14ac:dyDescent="0.3">
      <c r="W143" s="89" t="s">
        <v>613</v>
      </c>
      <c r="X143" s="89"/>
    </row>
    <row r="144" spans="23:24" x14ac:dyDescent="0.3">
      <c r="W144" s="89" t="s">
        <v>614</v>
      </c>
      <c r="X144" s="89"/>
    </row>
    <row r="145" spans="23:24" x14ac:dyDescent="0.3">
      <c r="W145" s="89" t="s">
        <v>615</v>
      </c>
      <c r="X145" s="89"/>
    </row>
    <row r="146" spans="23:24" x14ac:dyDescent="0.3">
      <c r="W146" s="89" t="s">
        <v>616</v>
      </c>
      <c r="X146" s="89"/>
    </row>
    <row r="147" spans="23:24" x14ac:dyDescent="0.3">
      <c r="W147" s="89" t="s">
        <v>617</v>
      </c>
      <c r="X147" s="89"/>
    </row>
    <row r="148" spans="23:24" x14ac:dyDescent="0.3">
      <c r="W148" s="89" t="s">
        <v>618</v>
      </c>
      <c r="X148" s="89"/>
    </row>
    <row r="149" spans="23:24" x14ac:dyDescent="0.3">
      <c r="W149" s="89" t="s">
        <v>619</v>
      </c>
      <c r="X149" s="89"/>
    </row>
    <row r="150" spans="23:24" x14ac:dyDescent="0.3">
      <c r="W150" s="89" t="s">
        <v>620</v>
      </c>
      <c r="X150" s="89"/>
    </row>
    <row r="151" spans="23:24" x14ac:dyDescent="0.3">
      <c r="W151" s="89" t="s">
        <v>621</v>
      </c>
      <c r="X151" s="89"/>
    </row>
    <row r="152" spans="23:24" x14ac:dyDescent="0.3">
      <c r="W152" s="89" t="s">
        <v>622</v>
      </c>
      <c r="X152" s="89"/>
    </row>
    <row r="153" spans="23:24" x14ac:dyDescent="0.3">
      <c r="W153" s="89" t="s">
        <v>623</v>
      </c>
      <c r="X153" s="89"/>
    </row>
    <row r="154" spans="23:24" x14ac:dyDescent="0.3">
      <c r="W154" s="89" t="s">
        <v>624</v>
      </c>
      <c r="X154" s="89"/>
    </row>
    <row r="155" spans="23:24" x14ac:dyDescent="0.3">
      <c r="W155" s="89" t="s">
        <v>625</v>
      </c>
      <c r="X155" s="89"/>
    </row>
    <row r="156" spans="23:24" x14ac:dyDescent="0.3">
      <c r="W156" s="89" t="s">
        <v>626</v>
      </c>
      <c r="X156" s="89"/>
    </row>
    <row r="157" spans="23:24" x14ac:dyDescent="0.3">
      <c r="W157" s="89" t="s">
        <v>627</v>
      </c>
      <c r="X157" s="89"/>
    </row>
    <row r="158" spans="23:24" x14ac:dyDescent="0.3">
      <c r="W158" s="89" t="s">
        <v>628</v>
      </c>
      <c r="X158" s="89"/>
    </row>
    <row r="159" spans="23:24" x14ac:dyDescent="0.3">
      <c r="W159" s="89" t="s">
        <v>629</v>
      </c>
      <c r="X159" s="89"/>
    </row>
    <row r="160" spans="23:24" x14ac:dyDescent="0.3">
      <c r="W160" s="89" t="s">
        <v>630</v>
      </c>
      <c r="X160" s="89"/>
    </row>
    <row r="161" spans="23:24" x14ac:dyDescent="0.3">
      <c r="W161" s="89" t="s">
        <v>631</v>
      </c>
      <c r="X161" s="89"/>
    </row>
    <row r="162" spans="23:24" x14ac:dyDescent="0.3">
      <c r="W162" s="89" t="s">
        <v>632</v>
      </c>
      <c r="X162" s="89"/>
    </row>
    <row r="163" spans="23:24" x14ac:dyDescent="0.3">
      <c r="W163" s="89" t="s">
        <v>633</v>
      </c>
      <c r="X163" s="89"/>
    </row>
    <row r="164" spans="23:24" x14ac:dyDescent="0.3">
      <c r="W164" s="89" t="s">
        <v>634</v>
      </c>
      <c r="X164" s="89"/>
    </row>
    <row r="165" spans="23:24" x14ac:dyDescent="0.3">
      <c r="W165" s="89" t="s">
        <v>635</v>
      </c>
      <c r="X165" s="89"/>
    </row>
    <row r="166" spans="23:24" x14ac:dyDescent="0.3">
      <c r="W166" s="89" t="s">
        <v>636</v>
      </c>
      <c r="X166" s="89"/>
    </row>
    <row r="167" spans="23:24" x14ac:dyDescent="0.3">
      <c r="W167" s="89" t="s">
        <v>637</v>
      </c>
      <c r="X167" s="89"/>
    </row>
    <row r="168" spans="23:24" x14ac:dyDescent="0.3">
      <c r="W168" s="89" t="s">
        <v>638</v>
      </c>
      <c r="X168" s="89"/>
    </row>
    <row r="169" spans="23:24" x14ac:dyDescent="0.3">
      <c r="W169" s="89" t="s">
        <v>639</v>
      </c>
      <c r="X169" s="89"/>
    </row>
    <row r="170" spans="23:24" x14ac:dyDescent="0.3">
      <c r="W170" s="89" t="s">
        <v>640</v>
      </c>
      <c r="X170" s="89"/>
    </row>
    <row r="171" spans="23:24" x14ac:dyDescent="0.3">
      <c r="W171" s="89" t="s">
        <v>641</v>
      </c>
      <c r="X171" s="89"/>
    </row>
    <row r="172" spans="23:24" x14ac:dyDescent="0.3">
      <c r="W172" s="89" t="s">
        <v>642</v>
      </c>
      <c r="X172" s="89"/>
    </row>
    <row r="173" spans="23:24" x14ac:dyDescent="0.3">
      <c r="W173" s="89" t="s">
        <v>643</v>
      </c>
      <c r="X173" s="89"/>
    </row>
    <row r="174" spans="23:24" x14ac:dyDescent="0.3">
      <c r="W174" s="89" t="s">
        <v>644</v>
      </c>
      <c r="X174" s="89"/>
    </row>
    <row r="175" spans="23:24" x14ac:dyDescent="0.3">
      <c r="W175" s="89" t="s">
        <v>645</v>
      </c>
      <c r="X175" s="89"/>
    </row>
    <row r="176" spans="23:24" x14ac:dyDescent="0.3">
      <c r="W176" s="89" t="s">
        <v>646</v>
      </c>
      <c r="X176" s="89"/>
    </row>
    <row r="177" spans="23:24" x14ac:dyDescent="0.3">
      <c r="W177" s="89" t="s">
        <v>647</v>
      </c>
      <c r="X177" s="89"/>
    </row>
    <row r="178" spans="23:24" x14ac:dyDescent="0.3">
      <c r="W178" s="89" t="s">
        <v>648</v>
      </c>
      <c r="X178" s="89"/>
    </row>
    <row r="179" spans="23:24" x14ac:dyDescent="0.3">
      <c r="W179" s="89" t="s">
        <v>649</v>
      </c>
      <c r="X179" s="89"/>
    </row>
    <row r="180" spans="23:24" x14ac:dyDescent="0.3">
      <c r="W180" s="89" t="s">
        <v>650</v>
      </c>
      <c r="X180" s="89"/>
    </row>
    <row r="181" spans="23:24" x14ac:dyDescent="0.3">
      <c r="W181" s="89" t="s">
        <v>651</v>
      </c>
      <c r="X181" s="89"/>
    </row>
    <row r="182" spans="23:24" x14ac:dyDescent="0.3">
      <c r="W182" s="89" t="s">
        <v>652</v>
      </c>
      <c r="X182" s="89"/>
    </row>
    <row r="183" spans="23:24" x14ac:dyDescent="0.3">
      <c r="W183" s="89" t="s">
        <v>653</v>
      </c>
      <c r="X183" s="89"/>
    </row>
    <row r="184" spans="23:24" x14ac:dyDescent="0.3">
      <c r="W184" s="89" t="s">
        <v>654</v>
      </c>
      <c r="X184" s="89"/>
    </row>
    <row r="185" spans="23:24" x14ac:dyDescent="0.3">
      <c r="W185" s="89" t="s">
        <v>655</v>
      </c>
      <c r="X185" s="89"/>
    </row>
    <row r="186" spans="23:24" x14ac:dyDescent="0.3">
      <c r="W186" s="89" t="s">
        <v>656</v>
      </c>
      <c r="X186" s="89"/>
    </row>
    <row r="187" spans="23:24" x14ac:dyDescent="0.3">
      <c r="W187" s="89" t="s">
        <v>657</v>
      </c>
      <c r="X187" s="89"/>
    </row>
    <row r="188" spans="23:24" x14ac:dyDescent="0.3">
      <c r="W188" s="89" t="s">
        <v>658</v>
      </c>
      <c r="X188" s="89"/>
    </row>
    <row r="189" spans="23:24" x14ac:dyDescent="0.3">
      <c r="W189" s="89" t="s">
        <v>659</v>
      </c>
      <c r="X189" s="89"/>
    </row>
    <row r="190" spans="23:24" x14ac:dyDescent="0.3">
      <c r="W190" s="89" t="s">
        <v>660</v>
      </c>
      <c r="X190" s="89"/>
    </row>
    <row r="191" spans="23:24" x14ac:dyDescent="0.3">
      <c r="W191" s="89" t="s">
        <v>661</v>
      </c>
      <c r="X191" s="89"/>
    </row>
    <row r="192" spans="23:24" x14ac:dyDescent="0.3">
      <c r="W192" s="89" t="s">
        <v>662</v>
      </c>
      <c r="X192" s="89"/>
    </row>
    <row r="193" spans="23:24" x14ac:dyDescent="0.3">
      <c r="W193" s="89" t="s">
        <v>663</v>
      </c>
      <c r="X193" s="89"/>
    </row>
    <row r="194" spans="23:24" x14ac:dyDescent="0.3">
      <c r="W194" s="89" t="s">
        <v>664</v>
      </c>
      <c r="X194" s="89"/>
    </row>
    <row r="195" spans="23:24" x14ac:dyDescent="0.3">
      <c r="W195" s="89" t="s">
        <v>665</v>
      </c>
      <c r="X195" s="89"/>
    </row>
    <row r="196" spans="23:24" x14ac:dyDescent="0.3">
      <c r="W196" s="89" t="s">
        <v>666</v>
      </c>
      <c r="X196" s="89"/>
    </row>
    <row r="197" spans="23:24" x14ac:dyDescent="0.3">
      <c r="W197" s="89" t="s">
        <v>667</v>
      </c>
      <c r="X197" s="89"/>
    </row>
    <row r="198" spans="23:24" x14ac:dyDescent="0.3">
      <c r="W198" s="89" t="s">
        <v>668</v>
      </c>
      <c r="X198" s="89"/>
    </row>
    <row r="199" spans="23:24" x14ac:dyDescent="0.3">
      <c r="W199" s="89" t="s">
        <v>669</v>
      </c>
      <c r="X199" s="89"/>
    </row>
    <row r="200" spans="23:24" x14ac:dyDescent="0.3">
      <c r="W200" s="89" t="s">
        <v>670</v>
      </c>
      <c r="X200" s="89"/>
    </row>
    <row r="201" spans="23:24" x14ac:dyDescent="0.3">
      <c r="W201" s="89" t="s">
        <v>671</v>
      </c>
      <c r="X201" s="89"/>
    </row>
    <row r="202" spans="23:24" x14ac:dyDescent="0.3">
      <c r="W202" s="89" t="s">
        <v>672</v>
      </c>
      <c r="X202" s="89"/>
    </row>
    <row r="203" spans="23:24" x14ac:dyDescent="0.3">
      <c r="W203" s="89" t="s">
        <v>673</v>
      </c>
      <c r="X203" s="89"/>
    </row>
    <row r="204" spans="23:24" x14ac:dyDescent="0.3">
      <c r="W204" s="89" t="s">
        <v>674</v>
      </c>
      <c r="X204" s="89"/>
    </row>
    <row r="205" spans="23:24" x14ac:dyDescent="0.3">
      <c r="W205" s="89" t="s">
        <v>675</v>
      </c>
      <c r="X205" s="89"/>
    </row>
    <row r="206" spans="23:24" x14ac:dyDescent="0.3">
      <c r="W206" s="89" t="s">
        <v>676</v>
      </c>
      <c r="X206" s="89"/>
    </row>
    <row r="207" spans="23:24" x14ac:dyDescent="0.3">
      <c r="W207" s="89" t="s">
        <v>677</v>
      </c>
      <c r="X207" s="89"/>
    </row>
    <row r="208" spans="23:24" x14ac:dyDescent="0.3">
      <c r="W208" s="89" t="s">
        <v>678</v>
      </c>
      <c r="X208" s="89"/>
    </row>
    <row r="209" spans="23:24" x14ac:dyDescent="0.3">
      <c r="W209" s="89" t="s">
        <v>679</v>
      </c>
      <c r="X209" s="89"/>
    </row>
    <row r="210" spans="23:24" x14ac:dyDescent="0.3">
      <c r="W210" s="89" t="s">
        <v>680</v>
      </c>
      <c r="X210" s="89"/>
    </row>
    <row r="211" spans="23:24" x14ac:dyDescent="0.3">
      <c r="W211" s="89" t="s">
        <v>681</v>
      </c>
      <c r="X211" s="89"/>
    </row>
    <row r="212" spans="23:24" x14ac:dyDescent="0.3">
      <c r="W212" s="89" t="s">
        <v>682</v>
      </c>
      <c r="X212" s="89"/>
    </row>
    <row r="213" spans="23:24" x14ac:dyDescent="0.3">
      <c r="W213" s="89" t="s">
        <v>683</v>
      </c>
      <c r="X213" s="89"/>
    </row>
    <row r="214" spans="23:24" x14ac:dyDescent="0.3">
      <c r="W214" s="89" t="s">
        <v>684</v>
      </c>
      <c r="X214" s="89"/>
    </row>
    <row r="215" spans="23:24" x14ac:dyDescent="0.3">
      <c r="W215" s="89" t="s">
        <v>685</v>
      </c>
      <c r="X215" s="89"/>
    </row>
    <row r="216" spans="23:24" x14ac:dyDescent="0.3">
      <c r="W216" s="89" t="s">
        <v>686</v>
      </c>
      <c r="X216" s="89"/>
    </row>
    <row r="217" spans="23:24" x14ac:dyDescent="0.3">
      <c r="W217" s="89" t="s">
        <v>687</v>
      </c>
      <c r="X217" s="89"/>
    </row>
    <row r="218" spans="23:24" x14ac:dyDescent="0.3">
      <c r="W218" s="89" t="s">
        <v>688</v>
      </c>
      <c r="X218" s="89"/>
    </row>
    <row r="219" spans="23:24" x14ac:dyDescent="0.3">
      <c r="W219" s="89" t="s">
        <v>689</v>
      </c>
      <c r="X219" s="89"/>
    </row>
    <row r="220" spans="23:24" x14ac:dyDescent="0.3">
      <c r="W220" s="89" t="s">
        <v>690</v>
      </c>
      <c r="X220" s="89"/>
    </row>
    <row r="221" spans="23:24" x14ac:dyDescent="0.3">
      <c r="W221" s="89" t="s">
        <v>691</v>
      </c>
      <c r="X221" s="89"/>
    </row>
    <row r="222" spans="23:24" x14ac:dyDescent="0.3">
      <c r="W222" s="89" t="s">
        <v>692</v>
      </c>
      <c r="X222" s="89"/>
    </row>
    <row r="223" spans="23:24" x14ac:dyDescent="0.3">
      <c r="W223" s="89" t="s">
        <v>693</v>
      </c>
      <c r="X223" s="89"/>
    </row>
    <row r="224" spans="23:24" x14ac:dyDescent="0.3">
      <c r="W224" s="89" t="s">
        <v>694</v>
      </c>
      <c r="X224" s="89"/>
    </row>
    <row r="225" spans="23:24" x14ac:dyDescent="0.3">
      <c r="W225" s="89" t="s">
        <v>695</v>
      </c>
      <c r="X225" s="89"/>
    </row>
    <row r="226" spans="23:24" x14ac:dyDescent="0.3">
      <c r="W226" s="89" t="s">
        <v>696</v>
      </c>
      <c r="X226" s="89"/>
    </row>
    <row r="227" spans="23:24" x14ac:dyDescent="0.3">
      <c r="W227" s="89" t="s">
        <v>697</v>
      </c>
      <c r="X227" s="89"/>
    </row>
    <row r="228" spans="23:24" x14ac:dyDescent="0.3">
      <c r="W228" s="89" t="s">
        <v>698</v>
      </c>
      <c r="X228" s="89"/>
    </row>
    <row r="229" spans="23:24" x14ac:dyDescent="0.3">
      <c r="W229" s="89" t="s">
        <v>699</v>
      </c>
      <c r="X229" s="89"/>
    </row>
    <row r="230" spans="23:24" x14ac:dyDescent="0.3">
      <c r="W230" s="89" t="s">
        <v>700</v>
      </c>
      <c r="X230" s="89"/>
    </row>
    <row r="231" spans="23:24" x14ac:dyDescent="0.3">
      <c r="W231" s="89" t="s">
        <v>701</v>
      </c>
      <c r="X231" s="89"/>
    </row>
    <row r="232" spans="23:24" x14ac:dyDescent="0.3">
      <c r="W232" s="89" t="s">
        <v>702</v>
      </c>
      <c r="X232" s="89"/>
    </row>
    <row r="233" spans="23:24" x14ac:dyDescent="0.3">
      <c r="W233" s="89" t="s">
        <v>703</v>
      </c>
      <c r="X233" s="89"/>
    </row>
    <row r="234" spans="23:24" x14ac:dyDescent="0.3">
      <c r="W234" s="89" t="s">
        <v>704</v>
      </c>
      <c r="X234" s="89"/>
    </row>
    <row r="235" spans="23:24" x14ac:dyDescent="0.3">
      <c r="W235" s="89" t="s">
        <v>705</v>
      </c>
      <c r="X235" s="89"/>
    </row>
    <row r="236" spans="23:24" x14ac:dyDescent="0.3">
      <c r="W236" s="89" t="s">
        <v>706</v>
      </c>
      <c r="X236" s="89"/>
    </row>
    <row r="237" spans="23:24" x14ac:dyDescent="0.3">
      <c r="W237" s="89" t="s">
        <v>707</v>
      </c>
      <c r="X237" s="89"/>
    </row>
    <row r="238" spans="23:24" x14ac:dyDescent="0.3">
      <c r="W238" s="89" t="s">
        <v>708</v>
      </c>
      <c r="X238" s="89"/>
    </row>
    <row r="239" spans="23:24" x14ac:dyDescent="0.3">
      <c r="W239" s="89" t="s">
        <v>709</v>
      </c>
      <c r="X239" s="89"/>
    </row>
    <row r="240" spans="23:24" x14ac:dyDescent="0.3">
      <c r="W240" s="89" t="s">
        <v>710</v>
      </c>
      <c r="X240" s="89"/>
    </row>
    <row r="241" spans="23:24" x14ac:dyDescent="0.3">
      <c r="W241" s="89" t="s">
        <v>711</v>
      </c>
      <c r="X241" s="89"/>
    </row>
    <row r="242" spans="23:24" x14ac:dyDescent="0.3">
      <c r="W242" s="89" t="s">
        <v>712</v>
      </c>
      <c r="X242" s="89"/>
    </row>
    <row r="243" spans="23:24" x14ac:dyDescent="0.3">
      <c r="W243" s="89" t="s">
        <v>713</v>
      </c>
      <c r="X243" s="89"/>
    </row>
    <row r="244" spans="23:24" x14ac:dyDescent="0.3">
      <c r="W244" s="89" t="s">
        <v>714</v>
      </c>
      <c r="X244" s="89"/>
    </row>
    <row r="245" spans="23:24" x14ac:dyDescent="0.3">
      <c r="W245" s="89" t="s">
        <v>715</v>
      </c>
      <c r="X245" s="89"/>
    </row>
    <row r="246" spans="23:24" x14ac:dyDescent="0.3">
      <c r="W246" s="89" t="s">
        <v>716</v>
      </c>
      <c r="X246" s="89"/>
    </row>
    <row r="247" spans="23:24" x14ac:dyDescent="0.3">
      <c r="W247" s="89" t="s">
        <v>717</v>
      </c>
      <c r="X247" s="89"/>
    </row>
    <row r="248" spans="23:24" x14ac:dyDescent="0.3">
      <c r="W248" s="89" t="s">
        <v>718</v>
      </c>
      <c r="X248" s="89"/>
    </row>
    <row r="249" spans="23:24" x14ac:dyDescent="0.3">
      <c r="W249" s="89" t="s">
        <v>719</v>
      </c>
      <c r="X249" s="89"/>
    </row>
    <row r="250" spans="23:24" x14ac:dyDescent="0.3">
      <c r="W250" s="89" t="s">
        <v>720</v>
      </c>
      <c r="X250" s="89"/>
    </row>
    <row r="251" spans="23:24" x14ac:dyDescent="0.3">
      <c r="W251" s="89" t="s">
        <v>721</v>
      </c>
      <c r="X251" s="89"/>
    </row>
    <row r="252" spans="23:24" x14ac:dyDescent="0.3">
      <c r="W252" s="89" t="s">
        <v>722</v>
      </c>
      <c r="X252" s="89"/>
    </row>
    <row r="253" spans="23:24" x14ac:dyDescent="0.3">
      <c r="W253" s="89" t="s">
        <v>723</v>
      </c>
      <c r="X253" s="89"/>
    </row>
    <row r="254" spans="23:24" x14ac:dyDescent="0.3">
      <c r="W254" s="89" t="s">
        <v>724</v>
      </c>
      <c r="X254" s="89"/>
    </row>
    <row r="255" spans="23:24" x14ac:dyDescent="0.3">
      <c r="W255" s="89" t="s">
        <v>725</v>
      </c>
      <c r="X255" s="89"/>
    </row>
    <row r="256" spans="23:24" x14ac:dyDescent="0.3">
      <c r="W256" s="89" t="s">
        <v>726</v>
      </c>
      <c r="X256" s="89"/>
    </row>
    <row r="257" spans="23:24" x14ac:dyDescent="0.3">
      <c r="W257" s="89" t="s">
        <v>727</v>
      </c>
      <c r="X257" s="89"/>
    </row>
    <row r="258" spans="23:24" x14ac:dyDescent="0.3">
      <c r="W258" s="89" t="s">
        <v>728</v>
      </c>
      <c r="X258" s="89"/>
    </row>
    <row r="259" spans="23:24" x14ac:dyDescent="0.3">
      <c r="W259" s="89" t="s">
        <v>729</v>
      </c>
      <c r="X259" s="89"/>
    </row>
    <row r="260" spans="23:24" x14ac:dyDescent="0.3">
      <c r="W260" s="89" t="s">
        <v>730</v>
      </c>
      <c r="X260" s="89"/>
    </row>
    <row r="261" spans="23:24" x14ac:dyDescent="0.3">
      <c r="W261" s="89" t="s">
        <v>731</v>
      </c>
      <c r="X261" s="89"/>
    </row>
    <row r="262" spans="23:24" x14ac:dyDescent="0.3">
      <c r="W262" s="89" t="s">
        <v>732</v>
      </c>
      <c r="X262" s="89"/>
    </row>
    <row r="263" spans="23:24" x14ac:dyDescent="0.3">
      <c r="W263" s="89" t="s">
        <v>733</v>
      </c>
      <c r="X263" s="89"/>
    </row>
    <row r="264" spans="23:24" x14ac:dyDescent="0.3">
      <c r="W264" s="89" t="s">
        <v>734</v>
      </c>
      <c r="X264" s="89"/>
    </row>
    <row r="265" spans="23:24" x14ac:dyDescent="0.3">
      <c r="W265" s="89" t="s">
        <v>735</v>
      </c>
      <c r="X265" s="89"/>
    </row>
    <row r="266" spans="23:24" x14ac:dyDescent="0.3">
      <c r="W266" s="89" t="s">
        <v>736</v>
      </c>
      <c r="X266" s="89"/>
    </row>
    <row r="267" spans="23:24" x14ac:dyDescent="0.3">
      <c r="W267" s="89" t="s">
        <v>737</v>
      </c>
      <c r="X267" s="89"/>
    </row>
    <row r="268" spans="23:24" x14ac:dyDescent="0.3">
      <c r="W268" s="89" t="s">
        <v>738</v>
      </c>
      <c r="X268" s="89"/>
    </row>
    <row r="269" spans="23:24" x14ac:dyDescent="0.3">
      <c r="W269" s="89" t="s">
        <v>739</v>
      </c>
      <c r="X269" s="89"/>
    </row>
    <row r="270" spans="23:24" x14ac:dyDescent="0.3">
      <c r="W270" s="89" t="s">
        <v>740</v>
      </c>
      <c r="X270" s="89"/>
    </row>
    <row r="271" spans="23:24" x14ac:dyDescent="0.3">
      <c r="W271" s="89" t="s">
        <v>741</v>
      </c>
      <c r="X271" s="89"/>
    </row>
    <row r="272" spans="23:24" x14ac:dyDescent="0.3">
      <c r="W272" s="89" t="s">
        <v>742</v>
      </c>
      <c r="X272" s="89"/>
    </row>
    <row r="273" spans="23:24" x14ac:dyDescent="0.3">
      <c r="W273" s="89" t="s">
        <v>743</v>
      </c>
      <c r="X273" s="89"/>
    </row>
    <row r="274" spans="23:24" x14ac:dyDescent="0.3">
      <c r="W274" s="89" t="s">
        <v>744</v>
      </c>
      <c r="X274" s="89"/>
    </row>
    <row r="275" spans="23:24" x14ac:dyDescent="0.3">
      <c r="W275" s="89" t="s">
        <v>745</v>
      </c>
      <c r="X275" s="89"/>
    </row>
    <row r="276" spans="23:24" x14ac:dyDescent="0.3">
      <c r="W276" s="89" t="s">
        <v>746</v>
      </c>
      <c r="X276" s="89"/>
    </row>
    <row r="277" spans="23:24" x14ac:dyDescent="0.3">
      <c r="W277" s="89" t="s">
        <v>747</v>
      </c>
      <c r="X277" s="89"/>
    </row>
    <row r="278" spans="23:24" x14ac:dyDescent="0.3">
      <c r="W278" s="89" t="s">
        <v>748</v>
      </c>
      <c r="X278" s="89"/>
    </row>
    <row r="279" spans="23:24" x14ac:dyDescent="0.3">
      <c r="W279" s="89" t="s">
        <v>749</v>
      </c>
      <c r="X279" s="89"/>
    </row>
    <row r="280" spans="23:24" x14ac:dyDescent="0.3">
      <c r="W280" s="89" t="s">
        <v>750</v>
      </c>
      <c r="X280" s="89"/>
    </row>
    <row r="281" spans="23:24" x14ac:dyDescent="0.3">
      <c r="W281" s="89" t="s">
        <v>751</v>
      </c>
      <c r="X281" s="89"/>
    </row>
    <row r="282" spans="23:24" x14ac:dyDescent="0.3">
      <c r="W282" s="89" t="s">
        <v>752</v>
      </c>
      <c r="X282" s="89"/>
    </row>
    <row r="283" spans="23:24" x14ac:dyDescent="0.3">
      <c r="W283" s="89" t="s">
        <v>753</v>
      </c>
      <c r="X283" s="89"/>
    </row>
    <row r="284" spans="23:24" x14ac:dyDescent="0.3">
      <c r="W284" s="89" t="s">
        <v>754</v>
      </c>
      <c r="X284" s="89"/>
    </row>
    <row r="285" spans="23:24" x14ac:dyDescent="0.3">
      <c r="W285" s="89" t="s">
        <v>755</v>
      </c>
      <c r="X285" s="89"/>
    </row>
    <row r="286" spans="23:24" x14ac:dyDescent="0.3">
      <c r="W286" s="89" t="s">
        <v>756</v>
      </c>
      <c r="X286" s="89"/>
    </row>
    <row r="287" spans="23:24" x14ac:dyDescent="0.3">
      <c r="W287" s="89" t="s">
        <v>757</v>
      </c>
      <c r="X287" s="89"/>
    </row>
    <row r="288" spans="23:24" x14ac:dyDescent="0.3">
      <c r="W288" s="89" t="s">
        <v>758</v>
      </c>
      <c r="X288" s="89"/>
    </row>
    <row r="289" spans="23:24" x14ac:dyDescent="0.3">
      <c r="W289" s="89" t="s">
        <v>759</v>
      </c>
      <c r="X289" s="89"/>
    </row>
    <row r="290" spans="23:24" x14ac:dyDescent="0.3">
      <c r="W290" s="89" t="s">
        <v>760</v>
      </c>
      <c r="X290" s="89"/>
    </row>
    <row r="291" spans="23:24" x14ac:dyDescent="0.3">
      <c r="W291" s="89" t="s">
        <v>761</v>
      </c>
      <c r="X291" s="89"/>
    </row>
    <row r="292" spans="23:24" x14ac:dyDescent="0.3">
      <c r="W292" s="89" t="s">
        <v>762</v>
      </c>
      <c r="X292" s="89"/>
    </row>
    <row r="293" spans="23:24" x14ac:dyDescent="0.3">
      <c r="W293" s="89" t="s">
        <v>763</v>
      </c>
      <c r="X293" s="89"/>
    </row>
    <row r="294" spans="23:24" x14ac:dyDescent="0.3">
      <c r="W294" s="89" t="s">
        <v>764</v>
      </c>
      <c r="X294" s="89"/>
    </row>
    <row r="295" spans="23:24" x14ac:dyDescent="0.3">
      <c r="W295" s="89" t="s">
        <v>765</v>
      </c>
      <c r="X295" s="89"/>
    </row>
    <row r="296" spans="23:24" x14ac:dyDescent="0.3">
      <c r="W296" s="89" t="s">
        <v>766</v>
      </c>
      <c r="X296" s="89"/>
    </row>
    <row r="297" spans="23:24" x14ac:dyDescent="0.3">
      <c r="W297" s="89" t="s">
        <v>767</v>
      </c>
      <c r="X297" s="89"/>
    </row>
    <row r="298" spans="23:24" x14ac:dyDescent="0.3">
      <c r="W298" s="89" t="s">
        <v>768</v>
      </c>
      <c r="X298" s="89"/>
    </row>
    <row r="299" spans="23:24" x14ac:dyDescent="0.3">
      <c r="W299" s="89" t="s">
        <v>769</v>
      </c>
      <c r="X299" s="89"/>
    </row>
    <row r="300" spans="23:24" x14ac:dyDescent="0.3">
      <c r="W300" s="89" t="s">
        <v>770</v>
      </c>
      <c r="X300" s="89"/>
    </row>
    <row r="301" spans="23:24" x14ac:dyDescent="0.3">
      <c r="W301" s="89" t="s">
        <v>771</v>
      </c>
      <c r="X301" s="89"/>
    </row>
    <row r="302" spans="23:24" x14ac:dyDescent="0.3">
      <c r="W302" s="89" t="s">
        <v>772</v>
      </c>
      <c r="X302" s="89"/>
    </row>
    <row r="303" spans="23:24" x14ac:dyDescent="0.3">
      <c r="W303" s="89" t="s">
        <v>773</v>
      </c>
      <c r="X303" s="89"/>
    </row>
    <row r="304" spans="23:24" x14ac:dyDescent="0.3">
      <c r="W304" s="89" t="s">
        <v>774</v>
      </c>
      <c r="X304" s="89"/>
    </row>
    <row r="305" spans="23:24" x14ac:dyDescent="0.3">
      <c r="W305" s="89" t="s">
        <v>775</v>
      </c>
      <c r="X305" s="89"/>
    </row>
    <row r="306" spans="23:24" x14ac:dyDescent="0.3">
      <c r="W306" s="89" t="s">
        <v>776</v>
      </c>
      <c r="X306" s="89"/>
    </row>
    <row r="307" spans="23:24" x14ac:dyDescent="0.3">
      <c r="W307" s="89" t="s">
        <v>777</v>
      </c>
      <c r="X307" s="89"/>
    </row>
    <row r="308" spans="23:24" x14ac:dyDescent="0.3">
      <c r="W308" s="89" t="s">
        <v>778</v>
      </c>
      <c r="X308" s="89"/>
    </row>
    <row r="309" spans="23:24" x14ac:dyDescent="0.3">
      <c r="W309" s="89" t="s">
        <v>779</v>
      </c>
      <c r="X309" s="89"/>
    </row>
    <row r="310" spans="23:24" x14ac:dyDescent="0.3">
      <c r="W310" s="89" t="s">
        <v>780</v>
      </c>
      <c r="X310" s="89"/>
    </row>
    <row r="311" spans="23:24" x14ac:dyDescent="0.3">
      <c r="W311" s="89" t="s">
        <v>781</v>
      </c>
      <c r="X311" s="89"/>
    </row>
    <row r="312" spans="23:24" x14ac:dyDescent="0.3">
      <c r="W312" s="89" t="s">
        <v>782</v>
      </c>
      <c r="X312" s="89"/>
    </row>
    <row r="313" spans="23:24" x14ac:dyDescent="0.3">
      <c r="W313" s="89" t="s">
        <v>783</v>
      </c>
      <c r="X313" s="89"/>
    </row>
    <row r="314" spans="23:24" x14ac:dyDescent="0.3">
      <c r="W314" s="89" t="s">
        <v>784</v>
      </c>
      <c r="X314" s="89"/>
    </row>
    <row r="315" spans="23:24" x14ac:dyDescent="0.3">
      <c r="W315" s="89" t="s">
        <v>785</v>
      </c>
      <c r="X315" s="89"/>
    </row>
    <row r="316" spans="23:24" x14ac:dyDescent="0.3">
      <c r="W316" s="89" t="s">
        <v>786</v>
      </c>
      <c r="X316" s="89"/>
    </row>
    <row r="317" spans="23:24" x14ac:dyDescent="0.3">
      <c r="W317" s="89" t="s">
        <v>787</v>
      </c>
      <c r="X317" s="89"/>
    </row>
    <row r="318" spans="23:24" x14ac:dyDescent="0.3">
      <c r="W318" s="89" t="s">
        <v>788</v>
      </c>
      <c r="X318" s="89"/>
    </row>
    <row r="319" spans="23:24" x14ac:dyDescent="0.3">
      <c r="W319" s="89" t="s">
        <v>789</v>
      </c>
      <c r="X319" s="89"/>
    </row>
    <row r="320" spans="23:24" x14ac:dyDescent="0.3">
      <c r="W320" s="89" t="s">
        <v>790</v>
      </c>
      <c r="X320" s="89"/>
    </row>
    <row r="321" spans="23:24" x14ac:dyDescent="0.3">
      <c r="W321" s="89" t="s">
        <v>791</v>
      </c>
      <c r="X321" s="89"/>
    </row>
    <row r="322" spans="23:24" x14ac:dyDescent="0.3">
      <c r="W322" s="89" t="s">
        <v>792</v>
      </c>
      <c r="X322" s="89"/>
    </row>
    <row r="323" spans="23:24" x14ac:dyDescent="0.3">
      <c r="W323" s="89" t="s">
        <v>793</v>
      </c>
      <c r="X323" s="89"/>
    </row>
    <row r="324" spans="23:24" x14ac:dyDescent="0.3">
      <c r="W324" s="89" t="s">
        <v>794</v>
      </c>
      <c r="X324" s="89"/>
    </row>
    <row r="325" spans="23:24" x14ac:dyDescent="0.3">
      <c r="W325" s="89" t="s">
        <v>795</v>
      </c>
      <c r="X325" s="89"/>
    </row>
    <row r="326" spans="23:24" x14ac:dyDescent="0.3">
      <c r="W326" s="89" t="s">
        <v>796</v>
      </c>
      <c r="X326" s="89"/>
    </row>
    <row r="327" spans="23:24" x14ac:dyDescent="0.3">
      <c r="W327" s="89" t="s">
        <v>797</v>
      </c>
      <c r="X327" s="89"/>
    </row>
    <row r="328" spans="23:24" x14ac:dyDescent="0.3">
      <c r="W328" s="89" t="s">
        <v>798</v>
      </c>
      <c r="X328" s="89"/>
    </row>
    <row r="329" spans="23:24" x14ac:dyDescent="0.3">
      <c r="W329" s="89" t="s">
        <v>799</v>
      </c>
      <c r="X329" s="89"/>
    </row>
    <row r="330" spans="23:24" x14ac:dyDescent="0.3">
      <c r="W330" s="89" t="s">
        <v>800</v>
      </c>
      <c r="X330" s="89"/>
    </row>
    <row r="331" spans="23:24" x14ac:dyDescent="0.3">
      <c r="W331" s="89" t="s">
        <v>801</v>
      </c>
      <c r="X331" s="89"/>
    </row>
    <row r="332" spans="23:24" x14ac:dyDescent="0.3">
      <c r="W332" s="89" t="s">
        <v>802</v>
      </c>
      <c r="X332" s="89"/>
    </row>
    <row r="333" spans="23:24" x14ac:dyDescent="0.3">
      <c r="W333" s="89" t="s">
        <v>803</v>
      </c>
      <c r="X333" s="89"/>
    </row>
    <row r="334" spans="23:24" x14ac:dyDescent="0.3">
      <c r="W334" s="89" t="s">
        <v>804</v>
      </c>
      <c r="X334" s="89"/>
    </row>
    <row r="335" spans="23:24" x14ac:dyDescent="0.3">
      <c r="W335" s="89" t="s">
        <v>805</v>
      </c>
      <c r="X335" s="89"/>
    </row>
    <row r="336" spans="23:24" x14ac:dyDescent="0.3">
      <c r="W336" s="89" t="s">
        <v>806</v>
      </c>
      <c r="X336" s="89"/>
    </row>
    <row r="337" spans="23:24" x14ac:dyDescent="0.3">
      <c r="W337" s="89" t="s">
        <v>807</v>
      </c>
      <c r="X337" s="89"/>
    </row>
    <row r="338" spans="23:24" x14ac:dyDescent="0.3">
      <c r="W338" s="89" t="s">
        <v>808</v>
      </c>
      <c r="X338" s="89"/>
    </row>
    <row r="339" spans="23:24" x14ac:dyDescent="0.3">
      <c r="W339" s="89" t="s">
        <v>809</v>
      </c>
      <c r="X339" s="89"/>
    </row>
    <row r="340" spans="23:24" x14ac:dyDescent="0.3">
      <c r="W340" s="89" t="s">
        <v>810</v>
      </c>
      <c r="X340" s="89"/>
    </row>
    <row r="341" spans="23:24" x14ac:dyDescent="0.3">
      <c r="W341" s="89" t="s">
        <v>811</v>
      </c>
      <c r="X341" s="89"/>
    </row>
    <row r="342" spans="23:24" x14ac:dyDescent="0.3">
      <c r="W342" s="89" t="s">
        <v>812</v>
      </c>
      <c r="X342" s="89"/>
    </row>
    <row r="343" spans="23:24" x14ac:dyDescent="0.3">
      <c r="W343" s="89" t="s">
        <v>813</v>
      </c>
      <c r="X343" s="89"/>
    </row>
    <row r="344" spans="23:24" x14ac:dyDescent="0.3">
      <c r="W344" s="89" t="s">
        <v>814</v>
      </c>
      <c r="X344" s="89"/>
    </row>
    <row r="345" spans="23:24" x14ac:dyDescent="0.3">
      <c r="W345" s="89" t="s">
        <v>815</v>
      </c>
      <c r="X345" s="89"/>
    </row>
    <row r="346" spans="23:24" x14ac:dyDescent="0.3">
      <c r="W346" s="89" t="s">
        <v>816</v>
      </c>
      <c r="X346" s="89"/>
    </row>
    <row r="347" spans="23:24" x14ac:dyDescent="0.3">
      <c r="W347" s="89" t="s">
        <v>817</v>
      </c>
      <c r="X347" s="89"/>
    </row>
    <row r="348" spans="23:24" x14ac:dyDescent="0.3">
      <c r="W348" s="89" t="s">
        <v>818</v>
      </c>
      <c r="X348" s="89"/>
    </row>
    <row r="349" spans="23:24" x14ac:dyDescent="0.3">
      <c r="W349" s="89" t="s">
        <v>819</v>
      </c>
      <c r="X349" s="89"/>
    </row>
    <row r="350" spans="23:24" x14ac:dyDescent="0.3">
      <c r="W350" s="89" t="s">
        <v>820</v>
      </c>
      <c r="X350" s="89"/>
    </row>
    <row r="351" spans="23:24" x14ac:dyDescent="0.3">
      <c r="W351" s="89" t="s">
        <v>821</v>
      </c>
      <c r="X351" s="89"/>
    </row>
    <row r="352" spans="23:24" x14ac:dyDescent="0.3">
      <c r="W352" s="89" t="s">
        <v>822</v>
      </c>
      <c r="X352" s="89"/>
    </row>
    <row r="353" spans="23:24" x14ac:dyDescent="0.3">
      <c r="W353" s="89" t="s">
        <v>823</v>
      </c>
      <c r="X353" s="89"/>
    </row>
    <row r="354" spans="23:24" x14ac:dyDescent="0.3">
      <c r="W354" s="89" t="s">
        <v>824</v>
      </c>
      <c r="X354" s="89"/>
    </row>
    <row r="355" spans="23:24" x14ac:dyDescent="0.3">
      <c r="W355" s="89" t="s">
        <v>825</v>
      </c>
      <c r="X355" s="89"/>
    </row>
    <row r="356" spans="23:24" x14ac:dyDescent="0.3">
      <c r="W356" s="89" t="s">
        <v>826</v>
      </c>
      <c r="X356" s="89"/>
    </row>
    <row r="357" spans="23:24" x14ac:dyDescent="0.3">
      <c r="W357" s="89" t="s">
        <v>827</v>
      </c>
      <c r="X357" s="89"/>
    </row>
    <row r="358" spans="23:24" x14ac:dyDescent="0.3">
      <c r="W358" s="89" t="s">
        <v>828</v>
      </c>
      <c r="X358" s="89"/>
    </row>
    <row r="359" spans="23:24" x14ac:dyDescent="0.3">
      <c r="W359" s="89" t="s">
        <v>829</v>
      </c>
      <c r="X359" s="89"/>
    </row>
    <row r="360" spans="23:24" x14ac:dyDescent="0.3">
      <c r="W360" s="89" t="s">
        <v>830</v>
      </c>
      <c r="X360" s="89"/>
    </row>
    <row r="361" spans="23:24" x14ac:dyDescent="0.3">
      <c r="W361" s="89" t="s">
        <v>831</v>
      </c>
      <c r="X361" s="89"/>
    </row>
    <row r="362" spans="23:24" x14ac:dyDescent="0.3">
      <c r="W362" s="89" t="s">
        <v>832</v>
      </c>
      <c r="X362" s="89"/>
    </row>
    <row r="363" spans="23:24" x14ac:dyDescent="0.3">
      <c r="W363" s="89" t="s">
        <v>833</v>
      </c>
      <c r="X363" s="89"/>
    </row>
    <row r="364" spans="23:24" x14ac:dyDescent="0.3">
      <c r="W364" s="89" t="s">
        <v>834</v>
      </c>
      <c r="X364" s="89"/>
    </row>
    <row r="365" spans="23:24" x14ac:dyDescent="0.3">
      <c r="W365" s="89" t="s">
        <v>835</v>
      </c>
      <c r="X365" s="89"/>
    </row>
    <row r="366" spans="23:24" x14ac:dyDescent="0.3">
      <c r="W366" s="89" t="s">
        <v>836</v>
      </c>
      <c r="X366" s="89"/>
    </row>
    <row r="367" spans="23:24" x14ac:dyDescent="0.3">
      <c r="W367" s="89" t="s">
        <v>837</v>
      </c>
      <c r="X367" s="89"/>
    </row>
    <row r="368" spans="23:24" x14ac:dyDescent="0.3">
      <c r="W368" s="89" t="s">
        <v>838</v>
      </c>
      <c r="X368" s="89"/>
    </row>
    <row r="369" spans="23:24" x14ac:dyDescent="0.3">
      <c r="W369" s="89" t="s">
        <v>839</v>
      </c>
      <c r="X369" s="89"/>
    </row>
    <row r="370" spans="23:24" x14ac:dyDescent="0.3">
      <c r="W370" s="89" t="s">
        <v>840</v>
      </c>
      <c r="X370" s="89"/>
    </row>
    <row r="371" spans="23:24" x14ac:dyDescent="0.3">
      <c r="W371" s="89" t="s">
        <v>841</v>
      </c>
      <c r="X371" s="89"/>
    </row>
    <row r="372" spans="23:24" x14ac:dyDescent="0.3">
      <c r="W372" s="89" t="s">
        <v>842</v>
      </c>
      <c r="X372" s="89"/>
    </row>
    <row r="373" spans="23:24" x14ac:dyDescent="0.3">
      <c r="W373" s="89" t="s">
        <v>843</v>
      </c>
      <c r="X373" s="89"/>
    </row>
    <row r="374" spans="23:24" x14ac:dyDescent="0.3">
      <c r="W374" s="89" t="s">
        <v>844</v>
      </c>
      <c r="X374" s="89"/>
    </row>
    <row r="375" spans="23:24" x14ac:dyDescent="0.3">
      <c r="W375" s="89" t="s">
        <v>845</v>
      </c>
      <c r="X375" s="89"/>
    </row>
    <row r="376" spans="23:24" x14ac:dyDescent="0.3">
      <c r="W376" s="89" t="s">
        <v>846</v>
      </c>
      <c r="X376" s="89"/>
    </row>
    <row r="377" spans="23:24" x14ac:dyDescent="0.3">
      <c r="W377" s="89" t="s">
        <v>847</v>
      </c>
      <c r="X377" s="89"/>
    </row>
    <row r="378" spans="23:24" x14ac:dyDescent="0.3">
      <c r="W378" s="89" t="s">
        <v>848</v>
      </c>
      <c r="X378" s="89"/>
    </row>
    <row r="379" spans="23:24" x14ac:dyDescent="0.3">
      <c r="W379" s="89" t="s">
        <v>849</v>
      </c>
      <c r="X379" s="89"/>
    </row>
    <row r="380" spans="23:24" x14ac:dyDescent="0.3">
      <c r="W380" s="89" t="s">
        <v>850</v>
      </c>
      <c r="X380" s="89"/>
    </row>
    <row r="381" spans="23:24" x14ac:dyDescent="0.3">
      <c r="W381" s="89" t="s">
        <v>851</v>
      </c>
      <c r="X381" s="89"/>
    </row>
    <row r="382" spans="23:24" x14ac:dyDescent="0.3">
      <c r="W382" s="89" t="s">
        <v>852</v>
      </c>
      <c r="X382" s="89"/>
    </row>
    <row r="383" spans="23:24" x14ac:dyDescent="0.3">
      <c r="W383" s="89" t="s">
        <v>853</v>
      </c>
      <c r="X383" s="89"/>
    </row>
    <row r="384" spans="23:24" x14ac:dyDescent="0.3">
      <c r="W384" s="89" t="s">
        <v>854</v>
      </c>
      <c r="X384" s="89"/>
    </row>
    <row r="385" spans="23:24" x14ac:dyDescent="0.3">
      <c r="W385" s="89" t="s">
        <v>855</v>
      </c>
      <c r="X385" s="89"/>
    </row>
    <row r="386" spans="23:24" x14ac:dyDescent="0.3">
      <c r="W386" s="89" t="s">
        <v>856</v>
      </c>
      <c r="X386" s="89"/>
    </row>
    <row r="387" spans="23:24" x14ac:dyDescent="0.3">
      <c r="W387" s="89" t="s">
        <v>857</v>
      </c>
      <c r="X387" s="89"/>
    </row>
    <row r="388" spans="23:24" x14ac:dyDescent="0.3">
      <c r="W388" s="89" t="s">
        <v>858</v>
      </c>
      <c r="X388" s="89"/>
    </row>
    <row r="389" spans="23:24" x14ac:dyDescent="0.3">
      <c r="W389" s="89" t="s">
        <v>859</v>
      </c>
      <c r="X389" s="89"/>
    </row>
    <row r="390" spans="23:24" x14ac:dyDescent="0.3">
      <c r="W390" s="89" t="s">
        <v>860</v>
      </c>
      <c r="X390" s="89"/>
    </row>
    <row r="391" spans="23:24" x14ac:dyDescent="0.3">
      <c r="W391" s="89" t="s">
        <v>861</v>
      </c>
      <c r="X391" s="89"/>
    </row>
    <row r="392" spans="23:24" x14ac:dyDescent="0.3">
      <c r="W392" s="89" t="s">
        <v>862</v>
      </c>
      <c r="X392" s="89"/>
    </row>
    <row r="393" spans="23:24" x14ac:dyDescent="0.3">
      <c r="W393" s="89" t="s">
        <v>863</v>
      </c>
      <c r="X393" s="89"/>
    </row>
    <row r="394" spans="23:24" x14ac:dyDescent="0.3">
      <c r="W394" s="89" t="s">
        <v>864</v>
      </c>
      <c r="X394" s="89"/>
    </row>
    <row r="395" spans="23:24" x14ac:dyDescent="0.3">
      <c r="W395" s="89" t="s">
        <v>865</v>
      </c>
      <c r="X395" s="89"/>
    </row>
    <row r="396" spans="23:24" x14ac:dyDescent="0.3">
      <c r="W396" s="89" t="s">
        <v>866</v>
      </c>
      <c r="X396" s="89"/>
    </row>
    <row r="397" spans="23:24" x14ac:dyDescent="0.3">
      <c r="W397" s="89" t="s">
        <v>867</v>
      </c>
      <c r="X397" s="89"/>
    </row>
    <row r="398" spans="23:24" x14ac:dyDescent="0.3">
      <c r="W398" s="89" t="s">
        <v>868</v>
      </c>
      <c r="X398" s="89"/>
    </row>
    <row r="399" spans="23:24" x14ac:dyDescent="0.3">
      <c r="W399" s="89" t="s">
        <v>869</v>
      </c>
      <c r="X399" s="89"/>
    </row>
    <row r="400" spans="23:24" x14ac:dyDescent="0.3">
      <c r="W400" s="89" t="s">
        <v>870</v>
      </c>
      <c r="X400" s="89"/>
    </row>
    <row r="401" spans="23:24" x14ac:dyDescent="0.3">
      <c r="W401" s="89" t="s">
        <v>871</v>
      </c>
      <c r="X401" s="89"/>
    </row>
    <row r="402" spans="23:24" x14ac:dyDescent="0.3">
      <c r="W402" s="89" t="s">
        <v>872</v>
      </c>
      <c r="X402" s="89"/>
    </row>
    <row r="403" spans="23:24" x14ac:dyDescent="0.3">
      <c r="W403" s="89" t="s">
        <v>873</v>
      </c>
      <c r="X403" s="89"/>
    </row>
    <row r="404" spans="23:24" x14ac:dyDescent="0.3">
      <c r="W404" s="89" t="s">
        <v>874</v>
      </c>
      <c r="X404" s="89"/>
    </row>
    <row r="405" spans="23:24" x14ac:dyDescent="0.3">
      <c r="W405" s="89" t="s">
        <v>875</v>
      </c>
      <c r="X405" s="89"/>
    </row>
    <row r="406" spans="23:24" x14ac:dyDescent="0.3">
      <c r="W406" s="89" t="s">
        <v>876</v>
      </c>
      <c r="X406" s="89"/>
    </row>
    <row r="407" spans="23:24" x14ac:dyDescent="0.3">
      <c r="W407" s="89" t="s">
        <v>877</v>
      </c>
      <c r="X407" s="89"/>
    </row>
    <row r="408" spans="23:24" x14ac:dyDescent="0.3">
      <c r="W408" s="89" t="s">
        <v>878</v>
      </c>
      <c r="X408" s="89"/>
    </row>
    <row r="409" spans="23:24" x14ac:dyDescent="0.3">
      <c r="W409" s="89" t="s">
        <v>879</v>
      </c>
      <c r="X409" s="89"/>
    </row>
    <row r="410" spans="23:24" x14ac:dyDescent="0.3">
      <c r="W410" s="89" t="s">
        <v>880</v>
      </c>
      <c r="X410" s="89"/>
    </row>
    <row r="411" spans="23:24" x14ac:dyDescent="0.3">
      <c r="W411" s="89" t="s">
        <v>881</v>
      </c>
      <c r="X411" s="89"/>
    </row>
    <row r="412" spans="23:24" x14ac:dyDescent="0.3">
      <c r="W412" s="89" t="s">
        <v>882</v>
      </c>
      <c r="X412" s="89"/>
    </row>
  </sheetData>
  <sheetProtection algorithmName="SHA-512" hashValue="gkpQGb5xsjogus0z1fAi+McViUuQ0WpgJ9ExSimLrBSvSNHgDy20whmrCUIv2LP/bEX86DK+o58/Ot0h3gc8oQ==" saltValue="eANOEh+L+BMgGykZEexaKA==" spinCount="100000" sheet="1" objects="1"/>
  <sortState xmlns:xlrd2="http://schemas.microsoft.com/office/spreadsheetml/2017/richdata2" ref="A2:A13">
    <sortCondition ref="A2"/>
  </sortState>
  <mergeCells count="10">
    <mergeCell ref="J33:K33"/>
    <mergeCell ref="B34:D34"/>
    <mergeCell ref="F34:H34"/>
    <mergeCell ref="M34:N34"/>
    <mergeCell ref="Q34:T34"/>
    <mergeCell ref="B45:D45"/>
    <mergeCell ref="F45:G45"/>
    <mergeCell ref="I45:K45"/>
    <mergeCell ref="M45:P45"/>
    <mergeCell ref="S45:U45"/>
  </mergeCells>
  <phoneticPr fontId="19" type="noConversion"/>
  <pageMargins left="0.7" right="0.7" top="0.75" bottom="0.75" header="0.3" footer="0.3"/>
  <pageSetup paperSize="9" orientation="portrait" horizontalDpi="1200" verticalDpi="1200"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4745-101B-4227-8424-445FB5189DA1}">
  <sheetPr codeName="Sheet39">
    <tabColor rgb="FF7030A0"/>
  </sheetPr>
  <dimension ref="A1:H157"/>
  <sheetViews>
    <sheetView zoomScale="80" zoomScaleNormal="80" workbookViewId="0"/>
  </sheetViews>
  <sheetFormatPr defaultColWidth="0" defaultRowHeight="14.4" zeroHeight="1" x14ac:dyDescent="0.3"/>
  <cols>
    <col min="1" max="1" width="3.33203125" customWidth="1"/>
    <col min="2" max="2" width="24.44140625" bestFit="1" customWidth="1"/>
    <col min="3" max="3" width="34.109375" bestFit="1" customWidth="1"/>
    <col min="4" max="4" width="41.77734375" bestFit="1" customWidth="1"/>
    <col min="5" max="5" width="50.109375" customWidth="1"/>
    <col min="6" max="6" width="20.44140625" customWidth="1"/>
    <col min="7" max="8" width="8.77734375" customWidth="1"/>
    <col min="9" max="9" width="8.77734375" hidden="1" customWidth="1"/>
    <col min="10" max="16384" width="8.77734375" hidden="1"/>
  </cols>
  <sheetData>
    <row r="1" spans="1:8" ht="15" customHeight="1" x14ac:dyDescent="0.3">
      <c r="A1" s="122"/>
      <c r="B1" s="122"/>
      <c r="C1" s="122"/>
      <c r="D1" s="122"/>
      <c r="E1" s="122"/>
      <c r="F1" s="122"/>
      <c r="G1" s="122"/>
      <c r="H1" s="122"/>
    </row>
    <row r="2" spans="1:8" ht="19.2" customHeight="1" x14ac:dyDescent="0.3">
      <c r="A2" s="97"/>
      <c r="B2" s="277" t="s">
        <v>883</v>
      </c>
      <c r="C2" s="278" t="s">
        <v>884</v>
      </c>
      <c r="D2" s="278" t="s">
        <v>885</v>
      </c>
      <c r="E2" s="279" t="s">
        <v>886</v>
      </c>
      <c r="F2" s="280" t="s">
        <v>96</v>
      </c>
      <c r="G2" s="122"/>
      <c r="H2" s="122"/>
    </row>
    <row r="3" spans="1:8" ht="21.75" customHeight="1" x14ac:dyDescent="0.3">
      <c r="A3" s="97"/>
      <c r="B3" s="273" t="s">
        <v>887</v>
      </c>
      <c r="C3" s="281" t="s">
        <v>888</v>
      </c>
      <c r="D3" s="281" t="s">
        <v>889</v>
      </c>
      <c r="E3" s="274" t="s">
        <v>890</v>
      </c>
      <c r="F3" s="275" t="s">
        <v>216</v>
      </c>
      <c r="G3" s="97"/>
      <c r="H3" s="97"/>
    </row>
    <row r="4" spans="1:8" x14ac:dyDescent="0.3">
      <c r="A4" s="97"/>
      <c r="B4" s="1046" t="s">
        <v>213</v>
      </c>
      <c r="C4" s="1050" t="s">
        <v>213</v>
      </c>
      <c r="D4" s="5" t="s">
        <v>891</v>
      </c>
      <c r="E4" s="264" t="s">
        <v>312</v>
      </c>
      <c r="F4" s="265" t="s">
        <v>214</v>
      </c>
      <c r="G4" s="97"/>
      <c r="H4" s="97"/>
    </row>
    <row r="5" spans="1:8" x14ac:dyDescent="0.3">
      <c r="A5" s="97"/>
      <c r="B5" s="1047"/>
      <c r="C5" s="1049"/>
      <c r="D5" s="4" t="s">
        <v>892</v>
      </c>
      <c r="E5" s="82" t="s">
        <v>893</v>
      </c>
      <c r="F5" s="266" t="s">
        <v>214</v>
      </c>
      <c r="G5" s="97"/>
      <c r="H5" s="97"/>
    </row>
    <row r="6" spans="1:8" x14ac:dyDescent="0.3">
      <c r="A6" s="97"/>
      <c r="B6" s="1047"/>
      <c r="C6" s="1049"/>
      <c r="D6" s="4" t="s">
        <v>894</v>
      </c>
      <c r="E6" s="82" t="s">
        <v>317</v>
      </c>
      <c r="F6" s="266" t="s">
        <v>214</v>
      </c>
      <c r="G6" s="97"/>
      <c r="H6" s="97"/>
    </row>
    <row r="7" spans="1:8" x14ac:dyDescent="0.3">
      <c r="A7" s="97"/>
      <c r="B7" s="1047"/>
      <c r="C7" s="1049"/>
      <c r="D7" s="4" t="s">
        <v>895</v>
      </c>
      <c r="E7" s="82" t="s">
        <v>318</v>
      </c>
      <c r="F7" s="266" t="s">
        <v>214</v>
      </c>
      <c r="G7" s="97"/>
      <c r="H7" s="97"/>
    </row>
    <row r="8" spans="1:8" x14ac:dyDescent="0.3">
      <c r="A8" s="97"/>
      <c r="B8" s="1047"/>
      <c r="C8" s="1049" t="s">
        <v>896</v>
      </c>
      <c r="D8" s="4" t="s">
        <v>897</v>
      </c>
      <c r="E8" s="82" t="s">
        <v>307</v>
      </c>
      <c r="F8" s="270" t="s">
        <v>216</v>
      </c>
      <c r="G8" s="97"/>
      <c r="H8" s="97"/>
    </row>
    <row r="9" spans="1:8" x14ac:dyDescent="0.3">
      <c r="A9" s="97"/>
      <c r="B9" s="1047"/>
      <c r="C9" s="1049"/>
      <c r="D9" s="4" t="s">
        <v>898</v>
      </c>
      <c r="E9" s="82" t="s">
        <v>309</v>
      </c>
      <c r="F9" s="270" t="s">
        <v>216</v>
      </c>
      <c r="G9" s="97"/>
      <c r="H9" s="97"/>
    </row>
    <row r="10" spans="1:8" x14ac:dyDescent="0.3">
      <c r="A10" s="97"/>
      <c r="B10" s="1047"/>
      <c r="C10" s="1049"/>
      <c r="D10" s="4" t="s">
        <v>899</v>
      </c>
      <c r="E10" s="82" t="s">
        <v>900</v>
      </c>
      <c r="F10" s="270" t="s">
        <v>216</v>
      </c>
      <c r="G10" s="97"/>
      <c r="H10" s="97"/>
    </row>
    <row r="11" spans="1:8" x14ac:dyDescent="0.3">
      <c r="A11" s="97"/>
      <c r="B11" s="1047"/>
      <c r="C11" s="1049"/>
      <c r="D11" s="4" t="s">
        <v>901</v>
      </c>
      <c r="E11" s="82" t="s">
        <v>311</v>
      </c>
      <c r="F11" s="270" t="s">
        <v>216</v>
      </c>
      <c r="G11" s="97"/>
      <c r="H11" s="97"/>
    </row>
    <row r="12" spans="1:8" x14ac:dyDescent="0.3">
      <c r="A12" s="97"/>
      <c r="B12" s="1047"/>
      <c r="C12" s="1049"/>
      <c r="D12" s="4" t="s">
        <v>902</v>
      </c>
      <c r="E12" s="82" t="s">
        <v>903</v>
      </c>
      <c r="F12" s="270" t="s">
        <v>216</v>
      </c>
      <c r="G12" s="97"/>
      <c r="H12" s="97"/>
    </row>
    <row r="13" spans="1:8" x14ac:dyDescent="0.3">
      <c r="A13" s="97"/>
      <c r="B13" s="1047"/>
      <c r="C13" s="4" t="s">
        <v>315</v>
      </c>
      <c r="D13" s="4" t="s">
        <v>904</v>
      </c>
      <c r="E13" s="82" t="s">
        <v>315</v>
      </c>
      <c r="F13" s="266" t="s">
        <v>214</v>
      </c>
      <c r="G13" s="97"/>
      <c r="H13" s="97"/>
    </row>
    <row r="14" spans="1:8" ht="15" customHeight="1" x14ac:dyDescent="0.3">
      <c r="A14" s="97"/>
      <c r="B14" s="1048"/>
      <c r="C14" s="3" t="s">
        <v>905</v>
      </c>
      <c r="D14" s="3" t="s">
        <v>906</v>
      </c>
      <c r="E14" s="267" t="s">
        <v>316</v>
      </c>
      <c r="F14" s="268" t="s">
        <v>214</v>
      </c>
      <c r="G14" s="97"/>
      <c r="H14" s="97"/>
    </row>
    <row r="15" spans="1:8" x14ac:dyDescent="0.3">
      <c r="A15" s="97"/>
      <c r="B15" s="1046" t="s">
        <v>907</v>
      </c>
      <c r="C15" s="5" t="s">
        <v>908</v>
      </c>
      <c r="D15" s="5" t="s">
        <v>909</v>
      </c>
      <c r="E15" s="264" t="s">
        <v>320</v>
      </c>
      <c r="F15" s="265" t="s">
        <v>214</v>
      </c>
      <c r="G15" s="97"/>
      <c r="H15" s="97"/>
    </row>
    <row r="16" spans="1:8" x14ac:dyDescent="0.3">
      <c r="A16" s="97"/>
      <c r="B16" s="1047"/>
      <c r="C16" s="4" t="s">
        <v>319</v>
      </c>
      <c r="D16" s="4" t="s">
        <v>910</v>
      </c>
      <c r="E16" s="82" t="s">
        <v>319</v>
      </c>
      <c r="F16" s="266" t="s">
        <v>214</v>
      </c>
      <c r="G16" s="97"/>
      <c r="H16" s="97"/>
    </row>
    <row r="17" spans="1:8" x14ac:dyDescent="0.3">
      <c r="A17" s="97"/>
      <c r="B17" s="1047"/>
      <c r="C17" s="1049" t="s">
        <v>911</v>
      </c>
      <c r="D17" s="4" t="s">
        <v>912</v>
      </c>
      <c r="E17" s="82" t="s">
        <v>321</v>
      </c>
      <c r="F17" s="270" t="s">
        <v>216</v>
      </c>
      <c r="G17" s="97"/>
      <c r="H17" s="97"/>
    </row>
    <row r="18" spans="1:8" x14ac:dyDescent="0.3">
      <c r="A18" s="97"/>
      <c r="B18" s="1047"/>
      <c r="C18" s="1049"/>
      <c r="D18" s="4" t="s">
        <v>913</v>
      </c>
      <c r="E18" s="82" t="s">
        <v>322</v>
      </c>
      <c r="F18" s="270" t="s">
        <v>216</v>
      </c>
      <c r="G18" s="97"/>
      <c r="H18" s="97"/>
    </row>
    <row r="19" spans="1:8" ht="15" customHeight="1" x14ac:dyDescent="0.3">
      <c r="A19" s="97"/>
      <c r="B19" s="1048"/>
      <c r="C19" s="1054"/>
      <c r="D19" s="3" t="s">
        <v>914</v>
      </c>
      <c r="E19" s="267" t="s">
        <v>323</v>
      </c>
      <c r="F19" s="271" t="s">
        <v>216</v>
      </c>
      <c r="G19" s="97"/>
      <c r="H19" s="97"/>
    </row>
    <row r="20" spans="1:8" x14ac:dyDescent="0.3">
      <c r="A20" s="97"/>
      <c r="B20" s="1046" t="s">
        <v>218</v>
      </c>
      <c r="C20" s="5" t="s">
        <v>915</v>
      </c>
      <c r="D20" s="5" t="s">
        <v>916</v>
      </c>
      <c r="E20" s="264" t="s">
        <v>330</v>
      </c>
      <c r="F20" s="265" t="s">
        <v>214</v>
      </c>
      <c r="G20" s="97"/>
      <c r="H20" s="97"/>
    </row>
    <row r="21" spans="1:8" x14ac:dyDescent="0.3">
      <c r="A21" s="97"/>
      <c r="B21" s="1047"/>
      <c r="C21" s="1049" t="s">
        <v>917</v>
      </c>
      <c r="D21" s="4" t="s">
        <v>918</v>
      </c>
      <c r="E21" s="82" t="s">
        <v>324</v>
      </c>
      <c r="F21" s="270" t="s">
        <v>216</v>
      </c>
      <c r="G21" s="97"/>
      <c r="H21" s="97"/>
    </row>
    <row r="22" spans="1:8" x14ac:dyDescent="0.3">
      <c r="A22" s="97"/>
      <c r="B22" s="1047"/>
      <c r="C22" s="1049"/>
      <c r="D22" s="4" t="s">
        <v>919</v>
      </c>
      <c r="E22" s="82" t="s">
        <v>325</v>
      </c>
      <c r="F22" s="270" t="s">
        <v>216</v>
      </c>
      <c r="G22" s="97"/>
      <c r="H22" s="97"/>
    </row>
    <row r="23" spans="1:8" x14ac:dyDescent="0.3">
      <c r="A23" s="97"/>
      <c r="B23" s="1047"/>
      <c r="C23" s="1049"/>
      <c r="D23" s="4" t="s">
        <v>920</v>
      </c>
      <c r="E23" s="82" t="s">
        <v>326</v>
      </c>
      <c r="F23" s="270" t="s">
        <v>216</v>
      </c>
      <c r="G23" s="97"/>
      <c r="H23" s="97"/>
    </row>
    <row r="24" spans="1:8" x14ac:dyDescent="0.3">
      <c r="A24" s="97"/>
      <c r="B24" s="1047"/>
      <c r="C24" s="1049"/>
      <c r="D24" s="4" t="s">
        <v>921</v>
      </c>
      <c r="E24" s="82" t="s">
        <v>327</v>
      </c>
      <c r="F24" s="270" t="s">
        <v>216</v>
      </c>
      <c r="G24" s="97"/>
      <c r="H24" s="97"/>
    </row>
    <row r="25" spans="1:8" x14ac:dyDescent="0.3">
      <c r="A25" s="97"/>
      <c r="B25" s="1047"/>
      <c r="C25" s="1049"/>
      <c r="D25" s="4" t="s">
        <v>922</v>
      </c>
      <c r="E25" s="82" t="s">
        <v>328</v>
      </c>
      <c r="F25" s="270" t="s">
        <v>216</v>
      </c>
      <c r="G25" s="97"/>
      <c r="H25" s="97"/>
    </row>
    <row r="26" spans="1:8" x14ac:dyDescent="0.3">
      <c r="A26" s="97"/>
      <c r="B26" s="1047"/>
      <c r="C26" s="1049"/>
      <c r="D26" s="4" t="s">
        <v>923</v>
      </c>
      <c r="E26" s="82" t="s">
        <v>329</v>
      </c>
      <c r="F26" s="270" t="s">
        <v>216</v>
      </c>
      <c r="G26" s="97"/>
      <c r="H26" s="97"/>
    </row>
    <row r="27" spans="1:8" ht="15" customHeight="1" x14ac:dyDescent="0.3">
      <c r="A27" s="97"/>
      <c r="B27" s="1048"/>
      <c r="C27" s="1054"/>
      <c r="D27" s="3" t="s">
        <v>924</v>
      </c>
      <c r="E27" s="267" t="s">
        <v>925</v>
      </c>
      <c r="F27" s="271" t="s">
        <v>216</v>
      </c>
      <c r="G27" s="97"/>
      <c r="H27" s="97"/>
    </row>
    <row r="28" spans="1:8" x14ac:dyDescent="0.3">
      <c r="A28" s="97"/>
      <c r="B28" s="1046" t="s">
        <v>926</v>
      </c>
      <c r="C28" s="1050" t="s">
        <v>927</v>
      </c>
      <c r="D28" s="5" t="s">
        <v>928</v>
      </c>
      <c r="E28" s="264" t="s">
        <v>929</v>
      </c>
      <c r="F28" s="265" t="s">
        <v>214</v>
      </c>
      <c r="G28" s="97"/>
      <c r="H28" s="97"/>
    </row>
    <row r="29" spans="1:8" x14ac:dyDescent="0.3">
      <c r="A29" s="97"/>
      <c r="B29" s="1047"/>
      <c r="C29" s="1049"/>
      <c r="D29" s="4" t="s">
        <v>930</v>
      </c>
      <c r="E29" s="82" t="s">
        <v>931</v>
      </c>
      <c r="F29" s="270" t="s">
        <v>216</v>
      </c>
      <c r="G29" s="97"/>
      <c r="H29" s="97"/>
    </row>
    <row r="30" spans="1:8" x14ac:dyDescent="0.3">
      <c r="A30" s="97"/>
      <c r="B30" s="1047"/>
      <c r="C30" s="1049"/>
      <c r="D30" s="4" t="s">
        <v>932</v>
      </c>
      <c r="E30" s="82" t="s">
        <v>933</v>
      </c>
      <c r="F30" s="270" t="s">
        <v>216</v>
      </c>
      <c r="G30" s="97"/>
      <c r="H30" s="97"/>
    </row>
    <row r="31" spans="1:8" x14ac:dyDescent="0.3">
      <c r="A31" s="97"/>
      <c r="B31" s="1047"/>
      <c r="C31" s="1049" t="s">
        <v>934</v>
      </c>
      <c r="D31" s="4" t="s">
        <v>935</v>
      </c>
      <c r="E31" s="82" t="s">
        <v>936</v>
      </c>
      <c r="F31" s="266" t="s">
        <v>214</v>
      </c>
      <c r="G31" s="97"/>
      <c r="H31" s="97"/>
    </row>
    <row r="32" spans="1:8" x14ac:dyDescent="0.3">
      <c r="A32" s="97"/>
      <c r="B32" s="1047"/>
      <c r="C32" s="1049"/>
      <c r="D32" s="4" t="s">
        <v>937</v>
      </c>
      <c r="E32" s="82" t="s">
        <v>938</v>
      </c>
      <c r="F32" s="270" t="s">
        <v>216</v>
      </c>
      <c r="G32" s="97"/>
      <c r="H32" s="97"/>
    </row>
    <row r="33" spans="1:8" x14ac:dyDescent="0.3">
      <c r="A33" s="97"/>
      <c r="B33" s="1047"/>
      <c r="C33" s="1049"/>
      <c r="D33" s="4" t="s">
        <v>939</v>
      </c>
      <c r="E33" s="82" t="s">
        <v>940</v>
      </c>
      <c r="F33" s="270" t="s">
        <v>216</v>
      </c>
      <c r="G33" s="97"/>
      <c r="H33" s="97"/>
    </row>
    <row r="34" spans="1:8" x14ac:dyDescent="0.3">
      <c r="A34" s="97"/>
      <c r="B34" s="1047"/>
      <c r="C34" s="4" t="s">
        <v>941</v>
      </c>
      <c r="D34" s="4" t="s">
        <v>942</v>
      </c>
      <c r="E34" s="82" t="s">
        <v>943</v>
      </c>
      <c r="F34" s="272" t="s">
        <v>342</v>
      </c>
      <c r="G34" s="97"/>
      <c r="H34" s="97"/>
    </row>
    <row r="35" spans="1:8" x14ac:dyDescent="0.3">
      <c r="A35" s="97"/>
      <c r="B35" s="1047"/>
      <c r="C35" s="1049" t="s">
        <v>944</v>
      </c>
      <c r="D35" s="4" t="s">
        <v>945</v>
      </c>
      <c r="E35" s="82" t="s">
        <v>946</v>
      </c>
      <c r="F35" s="266" t="s">
        <v>214</v>
      </c>
      <c r="G35" s="97"/>
      <c r="H35" s="97"/>
    </row>
    <row r="36" spans="1:8" x14ac:dyDescent="0.3">
      <c r="A36" s="97"/>
      <c r="B36" s="1047"/>
      <c r="C36" s="1049"/>
      <c r="D36" s="4" t="s">
        <v>947</v>
      </c>
      <c r="E36" s="82" t="s">
        <v>948</v>
      </c>
      <c r="F36" s="266" t="s">
        <v>214</v>
      </c>
      <c r="G36" s="97"/>
      <c r="H36" s="97"/>
    </row>
    <row r="37" spans="1:8" x14ac:dyDescent="0.3">
      <c r="A37" s="97"/>
      <c r="B37" s="1047"/>
      <c r="C37" s="1049"/>
      <c r="D37" s="4" t="s">
        <v>949</v>
      </c>
      <c r="E37" s="82" t="s">
        <v>950</v>
      </c>
      <c r="F37" s="270" t="s">
        <v>216</v>
      </c>
      <c r="G37" s="97"/>
      <c r="H37" s="97"/>
    </row>
    <row r="38" spans="1:8" ht="15" customHeight="1" x14ac:dyDescent="0.3">
      <c r="A38" s="97"/>
      <c r="B38" s="1048"/>
      <c r="C38" s="1054"/>
      <c r="D38" s="3" t="s">
        <v>951</v>
      </c>
      <c r="E38" s="267" t="s">
        <v>952</v>
      </c>
      <c r="F38" s="271" t="s">
        <v>216</v>
      </c>
      <c r="G38" s="97"/>
      <c r="H38" s="97"/>
    </row>
    <row r="39" spans="1:8" x14ac:dyDescent="0.3">
      <c r="A39" s="97"/>
      <c r="B39" s="1051" t="s">
        <v>953</v>
      </c>
      <c r="C39" s="5" t="s">
        <v>954</v>
      </c>
      <c r="D39" s="5" t="s">
        <v>955</v>
      </c>
      <c r="E39" s="264" t="s">
        <v>377</v>
      </c>
      <c r="F39" s="265" t="s">
        <v>956</v>
      </c>
      <c r="G39" s="97"/>
      <c r="H39" s="97"/>
    </row>
    <row r="40" spans="1:8" x14ac:dyDescent="0.3">
      <c r="A40" s="97"/>
      <c r="B40" s="1052"/>
      <c r="C40" s="4" t="s">
        <v>954</v>
      </c>
      <c r="D40" s="4" t="s">
        <v>957</v>
      </c>
      <c r="E40" s="82" t="s">
        <v>376</v>
      </c>
      <c r="F40" s="266" t="s">
        <v>956</v>
      </c>
      <c r="G40" s="97"/>
      <c r="H40" s="97"/>
    </row>
    <row r="41" spans="1:8" ht="29.55" customHeight="1" x14ac:dyDescent="0.3">
      <c r="A41" s="97"/>
      <c r="B41" s="1053"/>
      <c r="C41" s="3" t="s">
        <v>954</v>
      </c>
      <c r="D41" s="3" t="s">
        <v>958</v>
      </c>
      <c r="E41" s="267" t="s">
        <v>959</v>
      </c>
      <c r="F41" s="271" t="s">
        <v>216</v>
      </c>
      <c r="G41" s="97"/>
      <c r="H41" s="97"/>
    </row>
    <row r="42" spans="1:8" x14ac:dyDescent="0.3">
      <c r="A42" s="97"/>
      <c r="B42" s="1046" t="s">
        <v>220</v>
      </c>
      <c r="C42" s="5" t="s">
        <v>954</v>
      </c>
      <c r="D42" s="5" t="s">
        <v>960</v>
      </c>
      <c r="E42" s="264" t="s">
        <v>374</v>
      </c>
      <c r="F42" s="265" t="s">
        <v>956</v>
      </c>
      <c r="G42" s="97"/>
      <c r="H42" s="97"/>
    </row>
    <row r="43" spans="1:8" x14ac:dyDescent="0.3">
      <c r="A43" s="97"/>
      <c r="B43" s="1047"/>
      <c r="C43" s="4" t="s">
        <v>954</v>
      </c>
      <c r="D43" s="4" t="s">
        <v>961</v>
      </c>
      <c r="E43" s="82" t="s">
        <v>368</v>
      </c>
      <c r="F43" s="266" t="s">
        <v>956</v>
      </c>
      <c r="G43" s="97"/>
      <c r="H43" s="97"/>
    </row>
    <row r="44" spans="1:8" x14ac:dyDescent="0.3">
      <c r="A44" s="97"/>
      <c r="B44" s="1047"/>
      <c r="C44" s="4" t="s">
        <v>954</v>
      </c>
      <c r="D44" s="4" t="s">
        <v>962</v>
      </c>
      <c r="E44" s="82" t="s">
        <v>372</v>
      </c>
      <c r="F44" s="266" t="s">
        <v>956</v>
      </c>
      <c r="G44" s="97"/>
      <c r="H44" s="97"/>
    </row>
    <row r="45" spans="1:8" x14ac:dyDescent="0.3">
      <c r="A45" s="97"/>
      <c r="B45" s="1047"/>
      <c r="C45" s="4" t="s">
        <v>954</v>
      </c>
      <c r="D45" s="4" t="s">
        <v>963</v>
      </c>
      <c r="E45" s="82" t="s">
        <v>369</v>
      </c>
      <c r="F45" s="266" t="s">
        <v>214</v>
      </c>
      <c r="G45" s="97"/>
      <c r="H45" s="97"/>
    </row>
    <row r="46" spans="1:8" x14ac:dyDescent="0.3">
      <c r="A46" s="97"/>
      <c r="B46" s="1047"/>
      <c r="C46" s="4" t="s">
        <v>954</v>
      </c>
      <c r="D46" s="4" t="s">
        <v>964</v>
      </c>
      <c r="E46" s="82" t="s">
        <v>371</v>
      </c>
      <c r="F46" s="266" t="s">
        <v>956</v>
      </c>
      <c r="G46" s="97"/>
      <c r="H46" s="97"/>
    </row>
    <row r="47" spans="1:8" x14ac:dyDescent="0.3">
      <c r="A47" s="97"/>
      <c r="B47" s="1047"/>
      <c r="C47" s="4" t="s">
        <v>954</v>
      </c>
      <c r="D47" s="4" t="s">
        <v>965</v>
      </c>
      <c r="E47" s="82" t="s">
        <v>370</v>
      </c>
      <c r="F47" s="266" t="s">
        <v>214</v>
      </c>
      <c r="G47" s="97"/>
      <c r="H47" s="97"/>
    </row>
    <row r="48" spans="1:8" x14ac:dyDescent="0.3">
      <c r="A48" s="97"/>
      <c r="B48" s="1047"/>
      <c r="C48" s="4" t="s">
        <v>954</v>
      </c>
      <c r="D48" s="4" t="s">
        <v>966</v>
      </c>
      <c r="E48" s="82" t="s">
        <v>373</v>
      </c>
      <c r="F48" s="266" t="s">
        <v>956</v>
      </c>
      <c r="G48" s="97"/>
      <c r="H48" s="97"/>
    </row>
    <row r="49" spans="1:8" x14ac:dyDescent="0.3">
      <c r="A49" s="97"/>
      <c r="B49" s="1047"/>
      <c r="C49" s="4" t="s">
        <v>954</v>
      </c>
      <c r="D49" s="4" t="s">
        <v>967</v>
      </c>
      <c r="E49" s="82" t="s">
        <v>968</v>
      </c>
      <c r="F49" s="266" t="s">
        <v>214</v>
      </c>
      <c r="G49" s="97"/>
      <c r="H49" s="97"/>
    </row>
    <row r="50" spans="1:8" x14ac:dyDescent="0.3">
      <c r="A50" s="97"/>
      <c r="B50" s="1047"/>
      <c r="C50" s="4" t="s">
        <v>954</v>
      </c>
      <c r="D50" s="4" t="s">
        <v>969</v>
      </c>
      <c r="E50" s="82" t="s">
        <v>970</v>
      </c>
      <c r="F50" s="270" t="s">
        <v>216</v>
      </c>
      <c r="G50" s="97"/>
      <c r="H50" s="97"/>
    </row>
    <row r="51" spans="1:8" ht="15" customHeight="1" x14ac:dyDescent="0.3">
      <c r="A51" s="97"/>
      <c r="B51" s="1048"/>
      <c r="C51" s="3" t="s">
        <v>954</v>
      </c>
      <c r="D51" s="3" t="s">
        <v>971</v>
      </c>
      <c r="E51" s="267" t="s">
        <v>375</v>
      </c>
      <c r="F51" s="271" t="s">
        <v>216</v>
      </c>
      <c r="G51" s="97"/>
      <c r="H51" s="97"/>
    </row>
    <row r="52" spans="1:8" x14ac:dyDescent="0.3">
      <c r="A52" s="97"/>
      <c r="B52" s="1046" t="s">
        <v>221</v>
      </c>
      <c r="C52" s="5" t="s">
        <v>336</v>
      </c>
      <c r="D52" s="5" t="s">
        <v>972</v>
      </c>
      <c r="E52" s="264" t="s">
        <v>336</v>
      </c>
      <c r="F52" s="269" t="s">
        <v>216</v>
      </c>
      <c r="G52" s="97"/>
      <c r="H52" s="97"/>
    </row>
    <row r="53" spans="1:8" ht="15" customHeight="1" x14ac:dyDescent="0.3">
      <c r="A53" s="97"/>
      <c r="B53" s="1048"/>
      <c r="C53" s="3" t="s">
        <v>973</v>
      </c>
      <c r="D53" s="3" t="s">
        <v>974</v>
      </c>
      <c r="E53" s="267" t="s">
        <v>975</v>
      </c>
      <c r="F53" s="271" t="s">
        <v>216</v>
      </c>
      <c r="G53" s="97"/>
      <c r="H53" s="97"/>
    </row>
    <row r="54" spans="1:8" x14ac:dyDescent="0.3">
      <c r="A54" s="97"/>
      <c r="B54" s="1046" t="s">
        <v>976</v>
      </c>
      <c r="C54" s="5" t="s">
        <v>977</v>
      </c>
      <c r="D54" s="5" t="s">
        <v>978</v>
      </c>
      <c r="E54" s="264" t="s">
        <v>270</v>
      </c>
      <c r="F54" s="269" t="s">
        <v>216</v>
      </c>
      <c r="G54" s="97"/>
      <c r="H54" s="97"/>
    </row>
    <row r="55" spans="1:8" x14ac:dyDescent="0.3">
      <c r="A55" s="97"/>
      <c r="B55" s="1047"/>
      <c r="C55" s="4" t="s">
        <v>272</v>
      </c>
      <c r="D55" s="4" t="s">
        <v>979</v>
      </c>
      <c r="E55" s="82" t="s">
        <v>272</v>
      </c>
      <c r="F55" s="266" t="s">
        <v>214</v>
      </c>
      <c r="G55" s="97"/>
      <c r="H55" s="97"/>
    </row>
    <row r="56" spans="1:8" ht="15" customHeight="1" x14ac:dyDescent="0.3">
      <c r="A56" s="97"/>
      <c r="B56" s="1048"/>
      <c r="C56" s="3" t="s">
        <v>980</v>
      </c>
      <c r="D56" s="3" t="s">
        <v>981</v>
      </c>
      <c r="E56" s="267" t="s">
        <v>271</v>
      </c>
      <c r="F56" s="271" t="s">
        <v>216</v>
      </c>
      <c r="G56" s="97"/>
      <c r="H56" s="97"/>
    </row>
    <row r="57" spans="1:8" x14ac:dyDescent="0.3">
      <c r="A57" s="97"/>
      <c r="B57" s="1046" t="s">
        <v>222</v>
      </c>
      <c r="C57" s="5" t="s">
        <v>982</v>
      </c>
      <c r="D57" s="5" t="s">
        <v>983</v>
      </c>
      <c r="E57" s="264" t="s">
        <v>337</v>
      </c>
      <c r="F57" s="265" t="s">
        <v>214</v>
      </c>
      <c r="G57" s="97"/>
      <c r="H57" s="97"/>
    </row>
    <row r="58" spans="1:8" ht="15" customHeight="1" x14ac:dyDescent="0.3">
      <c r="A58" s="97"/>
      <c r="B58" s="1048"/>
      <c r="C58" s="3" t="s">
        <v>984</v>
      </c>
      <c r="D58" s="3" t="s">
        <v>985</v>
      </c>
      <c r="E58" s="267" t="s">
        <v>338</v>
      </c>
      <c r="F58" s="271" t="s">
        <v>216</v>
      </c>
      <c r="G58" s="97"/>
      <c r="H58" s="97"/>
    </row>
    <row r="59" spans="1:8" x14ac:dyDescent="0.3">
      <c r="A59" s="97"/>
      <c r="B59" s="1046" t="s">
        <v>223</v>
      </c>
      <c r="C59" s="5" t="s">
        <v>340</v>
      </c>
      <c r="D59" s="5" t="s">
        <v>986</v>
      </c>
      <c r="E59" s="264" t="s">
        <v>340</v>
      </c>
      <c r="F59" s="265" t="s">
        <v>214</v>
      </c>
      <c r="G59" s="97"/>
      <c r="H59" s="97"/>
    </row>
    <row r="60" spans="1:8" x14ac:dyDescent="0.3">
      <c r="A60" s="97"/>
      <c r="B60" s="1047"/>
      <c r="C60" s="4" t="s">
        <v>987</v>
      </c>
      <c r="D60" s="4" t="s">
        <v>988</v>
      </c>
      <c r="E60" s="82" t="s">
        <v>989</v>
      </c>
      <c r="F60" s="266" t="s">
        <v>214</v>
      </c>
      <c r="G60" s="97"/>
      <c r="H60" s="97"/>
    </row>
    <row r="61" spans="1:8" x14ac:dyDescent="0.3">
      <c r="A61" s="97"/>
      <c r="B61" s="1047"/>
      <c r="C61" s="4" t="s">
        <v>990</v>
      </c>
      <c r="D61" s="4" t="s">
        <v>991</v>
      </c>
      <c r="E61" s="82" t="s">
        <v>992</v>
      </c>
      <c r="F61" s="270" t="s">
        <v>216</v>
      </c>
      <c r="G61" s="97"/>
      <c r="H61" s="97"/>
    </row>
    <row r="62" spans="1:8" x14ac:dyDescent="0.3">
      <c r="A62" s="97"/>
      <c r="B62" s="1047"/>
      <c r="C62" s="4" t="s">
        <v>344</v>
      </c>
      <c r="D62" s="4" t="s">
        <v>993</v>
      </c>
      <c r="E62" s="82" t="s">
        <v>344</v>
      </c>
      <c r="F62" s="266" t="s">
        <v>214</v>
      </c>
      <c r="G62" s="97"/>
      <c r="H62" s="97"/>
    </row>
    <row r="63" spans="1:8" x14ac:dyDescent="0.3">
      <c r="A63" s="97"/>
      <c r="B63" s="1047"/>
      <c r="C63" s="4" t="s">
        <v>994</v>
      </c>
      <c r="D63" s="4" t="s">
        <v>995</v>
      </c>
      <c r="E63" s="82" t="s">
        <v>347</v>
      </c>
      <c r="F63" s="270" t="s">
        <v>216</v>
      </c>
      <c r="G63" s="97"/>
      <c r="H63" s="97"/>
    </row>
    <row r="64" spans="1:8" x14ac:dyDescent="0.3">
      <c r="A64" s="97"/>
      <c r="B64" s="1047"/>
      <c r="C64" s="1049" t="s">
        <v>996</v>
      </c>
      <c r="D64" s="4" t="s">
        <v>997</v>
      </c>
      <c r="E64" s="82" t="s">
        <v>360</v>
      </c>
      <c r="F64" s="266" t="s">
        <v>214</v>
      </c>
      <c r="G64" s="97"/>
      <c r="H64" s="97"/>
    </row>
    <row r="65" spans="1:8" x14ac:dyDescent="0.3">
      <c r="A65" s="97"/>
      <c r="B65" s="1047"/>
      <c r="C65" s="1049"/>
      <c r="D65" s="4" t="s">
        <v>998</v>
      </c>
      <c r="E65" s="82" t="s">
        <v>999</v>
      </c>
      <c r="F65" s="272" t="s">
        <v>342</v>
      </c>
      <c r="G65" s="97"/>
      <c r="H65" s="97"/>
    </row>
    <row r="66" spans="1:8" x14ac:dyDescent="0.3">
      <c r="A66" s="97"/>
      <c r="B66" s="1047"/>
      <c r="C66" s="4" t="s">
        <v>1000</v>
      </c>
      <c r="D66" s="4" t="s">
        <v>1001</v>
      </c>
      <c r="E66" s="82" t="s">
        <v>1002</v>
      </c>
      <c r="F66" s="270" t="s">
        <v>216</v>
      </c>
      <c r="G66" s="97"/>
      <c r="H66" s="97"/>
    </row>
    <row r="67" spans="1:8" x14ac:dyDescent="0.3">
      <c r="A67" s="97"/>
      <c r="B67" s="1047"/>
      <c r="C67" s="4" t="s">
        <v>1003</v>
      </c>
      <c r="D67" s="4" t="s">
        <v>1004</v>
      </c>
      <c r="E67" s="82" t="s">
        <v>349</v>
      </c>
      <c r="F67" s="266" t="s">
        <v>214</v>
      </c>
      <c r="G67" s="97"/>
      <c r="H67" s="97"/>
    </row>
    <row r="68" spans="1:8" x14ac:dyDescent="0.3">
      <c r="A68" s="97"/>
      <c r="B68" s="1047"/>
      <c r="C68" s="1049" t="s">
        <v>1005</v>
      </c>
      <c r="D68" s="4" t="s">
        <v>1006</v>
      </c>
      <c r="E68" s="82" t="s">
        <v>350</v>
      </c>
      <c r="F68" s="266" t="s">
        <v>214</v>
      </c>
      <c r="G68" s="97"/>
      <c r="H68" s="97"/>
    </row>
    <row r="69" spans="1:8" x14ac:dyDescent="0.3">
      <c r="A69" s="97"/>
      <c r="B69" s="1047"/>
      <c r="C69" s="1049"/>
      <c r="D69" s="4" t="s">
        <v>1007</v>
      </c>
      <c r="E69" s="82" t="s">
        <v>351</v>
      </c>
      <c r="F69" s="266" t="s">
        <v>214</v>
      </c>
      <c r="G69" s="97"/>
      <c r="H69" s="97"/>
    </row>
    <row r="70" spans="1:8" x14ac:dyDescent="0.3">
      <c r="A70" s="97"/>
      <c r="B70" s="1047"/>
      <c r="C70" s="4" t="s">
        <v>1008</v>
      </c>
      <c r="D70" s="4" t="s">
        <v>1009</v>
      </c>
      <c r="E70" s="82" t="s">
        <v>348</v>
      </c>
      <c r="F70" s="272" t="s">
        <v>342</v>
      </c>
      <c r="G70" s="97"/>
      <c r="H70" s="97"/>
    </row>
    <row r="71" spans="1:8" x14ac:dyDescent="0.3">
      <c r="A71" s="97"/>
      <c r="B71" s="1047"/>
      <c r="C71" s="4" t="s">
        <v>1010</v>
      </c>
      <c r="D71" s="4" t="s">
        <v>1011</v>
      </c>
      <c r="E71" s="82" t="s">
        <v>333</v>
      </c>
      <c r="F71" s="266" t="s">
        <v>214</v>
      </c>
      <c r="G71" s="97"/>
      <c r="H71" s="97"/>
    </row>
    <row r="72" spans="1:8" x14ac:dyDescent="0.3">
      <c r="A72" s="97"/>
      <c r="B72" s="1047"/>
      <c r="C72" s="4" t="s">
        <v>1012</v>
      </c>
      <c r="D72" s="4" t="s">
        <v>1013</v>
      </c>
      <c r="E72" s="82" t="s">
        <v>354</v>
      </c>
      <c r="F72" s="266" t="s">
        <v>214</v>
      </c>
      <c r="G72" s="97"/>
      <c r="H72" s="97"/>
    </row>
    <row r="73" spans="1:8" x14ac:dyDescent="0.3">
      <c r="A73" s="97"/>
      <c r="B73" s="1047"/>
      <c r="C73" s="4" t="s">
        <v>1014</v>
      </c>
      <c r="D73" s="4" t="s">
        <v>1015</v>
      </c>
      <c r="E73" s="82" t="s">
        <v>341</v>
      </c>
      <c r="F73" s="272" t="s">
        <v>342</v>
      </c>
      <c r="G73" s="97"/>
      <c r="H73" s="97"/>
    </row>
    <row r="74" spans="1:8" x14ac:dyDescent="0.3">
      <c r="A74" s="97"/>
      <c r="B74" s="1047"/>
      <c r="C74" s="4" t="s">
        <v>1016</v>
      </c>
      <c r="D74" s="4" t="s">
        <v>1017</v>
      </c>
      <c r="E74" s="82" t="s">
        <v>352</v>
      </c>
      <c r="F74" s="266" t="s">
        <v>214</v>
      </c>
      <c r="G74" s="97"/>
      <c r="H74" s="97"/>
    </row>
    <row r="75" spans="1:8" x14ac:dyDescent="0.3">
      <c r="A75" s="97"/>
      <c r="B75" s="1047"/>
      <c r="C75" s="4" t="s">
        <v>1018</v>
      </c>
      <c r="D75" s="4" t="s">
        <v>1019</v>
      </c>
      <c r="E75" s="82" t="s">
        <v>1020</v>
      </c>
      <c r="F75" s="266" t="s">
        <v>214</v>
      </c>
      <c r="G75" s="97"/>
      <c r="H75" s="97"/>
    </row>
    <row r="76" spans="1:8" x14ac:dyDescent="0.3">
      <c r="A76" s="97"/>
      <c r="B76" s="1047"/>
      <c r="C76" s="4" t="s">
        <v>1021</v>
      </c>
      <c r="D76" s="4" t="s">
        <v>1022</v>
      </c>
      <c r="E76" s="82" t="s">
        <v>1023</v>
      </c>
      <c r="F76" s="266" t="s">
        <v>214</v>
      </c>
      <c r="G76" s="97"/>
      <c r="H76" s="97"/>
    </row>
    <row r="77" spans="1:8" x14ac:dyDescent="0.3">
      <c r="A77" s="97"/>
      <c r="B77" s="1047"/>
      <c r="C77" s="1049" t="s">
        <v>1024</v>
      </c>
      <c r="D77" s="4" t="s">
        <v>1025</v>
      </c>
      <c r="E77" s="82" t="s">
        <v>355</v>
      </c>
      <c r="F77" s="266" t="s">
        <v>214</v>
      </c>
      <c r="G77" s="97"/>
      <c r="H77" s="97"/>
    </row>
    <row r="78" spans="1:8" x14ac:dyDescent="0.3">
      <c r="A78" s="97"/>
      <c r="B78" s="1047"/>
      <c r="C78" s="1049"/>
      <c r="D78" s="4" t="s">
        <v>1026</v>
      </c>
      <c r="E78" s="82" t="s">
        <v>1027</v>
      </c>
      <c r="F78" s="266" t="s">
        <v>214</v>
      </c>
      <c r="G78" s="97"/>
      <c r="H78" s="97"/>
    </row>
    <row r="79" spans="1:8" ht="15" customHeight="1" x14ac:dyDescent="0.3">
      <c r="A79" s="97"/>
      <c r="B79" s="1048"/>
      <c r="C79" s="3" t="s">
        <v>1028</v>
      </c>
      <c r="D79" s="3" t="s">
        <v>1029</v>
      </c>
      <c r="E79" s="267" t="s">
        <v>346</v>
      </c>
      <c r="F79" s="276" t="s">
        <v>342</v>
      </c>
      <c r="G79" s="97"/>
      <c r="H79" s="97"/>
    </row>
    <row r="80" spans="1:8" x14ac:dyDescent="0.3">
      <c r="A80" s="97"/>
      <c r="B80" s="1046" t="s">
        <v>224</v>
      </c>
      <c r="C80" s="1050" t="s">
        <v>1030</v>
      </c>
      <c r="D80" s="5" t="s">
        <v>1031</v>
      </c>
      <c r="E80" s="264" t="s">
        <v>362</v>
      </c>
      <c r="F80" s="265" t="s">
        <v>214</v>
      </c>
      <c r="G80" s="97"/>
      <c r="H80" s="97"/>
    </row>
    <row r="81" spans="1:8" x14ac:dyDescent="0.3">
      <c r="A81" s="97"/>
      <c r="B81" s="1047"/>
      <c r="C81" s="1049"/>
      <c r="D81" s="4" t="s">
        <v>1032</v>
      </c>
      <c r="E81" s="82" t="s">
        <v>1033</v>
      </c>
      <c r="F81" s="270" t="s">
        <v>216</v>
      </c>
      <c r="G81" s="97"/>
      <c r="H81" s="97"/>
    </row>
    <row r="82" spans="1:8" x14ac:dyDescent="0.3">
      <c r="A82" s="97"/>
      <c r="B82" s="1047"/>
      <c r="C82" s="4" t="s">
        <v>1034</v>
      </c>
      <c r="D82" s="4" t="s">
        <v>1035</v>
      </c>
      <c r="E82" s="82" t="s">
        <v>364</v>
      </c>
      <c r="F82" s="270" t="s">
        <v>216</v>
      </c>
      <c r="G82" s="97"/>
      <c r="H82" s="97"/>
    </row>
    <row r="83" spans="1:8" ht="15" customHeight="1" x14ac:dyDescent="0.3">
      <c r="A83" s="97"/>
      <c r="B83" s="1048"/>
      <c r="C83" s="3" t="s">
        <v>1036</v>
      </c>
      <c r="D83" s="3" t="s">
        <v>1037</v>
      </c>
      <c r="E83" s="267" t="s">
        <v>365</v>
      </c>
      <c r="F83" s="271" t="s">
        <v>216</v>
      </c>
      <c r="G83" s="97"/>
      <c r="H83" s="97"/>
    </row>
    <row r="84" spans="1:8" x14ac:dyDescent="0.3">
      <c r="A84" s="97"/>
      <c r="B84" s="97"/>
      <c r="C84" s="97"/>
      <c r="D84" s="97"/>
      <c r="E84" s="97"/>
      <c r="F84" s="97"/>
      <c r="G84" s="97"/>
      <c r="H84" s="97"/>
    </row>
    <row r="85" spans="1:8" x14ac:dyDescent="0.3">
      <c r="A85" s="97"/>
      <c r="B85" s="97"/>
      <c r="C85" s="97"/>
      <c r="D85" s="97"/>
      <c r="E85" s="97"/>
      <c r="F85" s="97"/>
      <c r="G85" s="97"/>
      <c r="H85" s="97"/>
    </row>
    <row r="86" spans="1:8" x14ac:dyDescent="0.3">
      <c r="A86" s="97"/>
      <c r="B86" s="97"/>
      <c r="C86" s="97"/>
      <c r="D86" s="97"/>
      <c r="E86" s="97"/>
      <c r="F86" s="97"/>
      <c r="G86" s="97"/>
      <c r="H86" s="97"/>
    </row>
    <row r="87" spans="1:8" x14ac:dyDescent="0.3">
      <c r="A87" s="97"/>
      <c r="B87" s="97"/>
      <c r="C87" s="97"/>
      <c r="D87" s="97"/>
      <c r="E87" s="97"/>
      <c r="F87" s="97"/>
      <c r="G87" s="97"/>
      <c r="H87" s="97"/>
    </row>
    <row r="88" spans="1:8" x14ac:dyDescent="0.3">
      <c r="A88" s="97"/>
      <c r="B88" s="97"/>
      <c r="C88" s="97"/>
      <c r="D88" s="97"/>
      <c r="E88" s="97"/>
      <c r="F88" s="97"/>
      <c r="G88" s="97"/>
      <c r="H88" s="97"/>
    </row>
    <row r="89" spans="1:8" hidden="1" x14ac:dyDescent="0.3">
      <c r="A89" s="97"/>
      <c r="B89" s="97"/>
      <c r="C89" s="97"/>
      <c r="D89" s="97"/>
      <c r="E89" s="97"/>
      <c r="F89" s="97"/>
      <c r="G89" s="97"/>
      <c r="H89" s="97"/>
    </row>
    <row r="90" spans="1:8" hidden="1" x14ac:dyDescent="0.3">
      <c r="A90" s="97"/>
      <c r="B90" s="97"/>
      <c r="C90" s="97"/>
      <c r="D90" s="97"/>
      <c r="E90" s="97"/>
      <c r="F90" s="97"/>
      <c r="G90" s="97"/>
      <c r="H90" s="97"/>
    </row>
    <row r="91" spans="1:8" hidden="1" x14ac:dyDescent="0.3">
      <c r="A91" s="97"/>
      <c r="B91" s="97"/>
      <c r="C91" s="97"/>
      <c r="D91" s="97"/>
      <c r="E91" s="97"/>
      <c r="F91" s="97"/>
      <c r="G91" s="97"/>
      <c r="H91" s="97"/>
    </row>
    <row r="92" spans="1:8" hidden="1" x14ac:dyDescent="0.3">
      <c r="A92" s="97"/>
      <c r="B92" s="97"/>
      <c r="C92" s="97"/>
      <c r="D92" s="97"/>
      <c r="E92" s="97"/>
      <c r="F92" s="97"/>
      <c r="G92" s="97"/>
      <c r="H92" s="97"/>
    </row>
    <row r="93" spans="1:8" hidden="1" x14ac:dyDescent="0.3">
      <c r="A93" s="97"/>
      <c r="B93" s="97"/>
      <c r="C93" s="97"/>
      <c r="D93" s="97"/>
      <c r="E93" s="97"/>
      <c r="F93" s="97"/>
      <c r="G93" s="97"/>
      <c r="H93" s="97"/>
    </row>
    <row r="94" spans="1:8" hidden="1" x14ac:dyDescent="0.3">
      <c r="A94" s="97"/>
      <c r="B94" s="97"/>
      <c r="C94" s="97"/>
      <c r="D94" s="97"/>
      <c r="E94" s="97"/>
      <c r="F94" s="97"/>
      <c r="G94" s="97"/>
      <c r="H94" s="97"/>
    </row>
    <row r="95" spans="1:8" hidden="1" x14ac:dyDescent="0.3">
      <c r="A95" s="97"/>
      <c r="B95" s="97"/>
      <c r="C95" s="97"/>
      <c r="D95" s="97"/>
      <c r="E95" s="97"/>
      <c r="F95" s="97"/>
      <c r="G95" s="97"/>
      <c r="H95" s="97"/>
    </row>
    <row r="96" spans="1:8" hidden="1" x14ac:dyDescent="0.3">
      <c r="A96" s="97"/>
      <c r="B96" s="97"/>
      <c r="C96" s="97"/>
      <c r="D96" s="97"/>
      <c r="E96" s="97"/>
      <c r="F96" s="97"/>
      <c r="G96" s="97"/>
      <c r="H96" s="97"/>
    </row>
    <row r="97" spans="1:8" hidden="1" x14ac:dyDescent="0.3">
      <c r="A97" s="97"/>
      <c r="B97" s="97"/>
      <c r="C97" s="97"/>
      <c r="D97" s="97"/>
      <c r="E97" s="97"/>
      <c r="F97" s="97"/>
      <c r="G97" s="97"/>
      <c r="H97" s="97"/>
    </row>
    <row r="98" spans="1:8" hidden="1" x14ac:dyDescent="0.3">
      <c r="A98" s="97"/>
      <c r="B98" s="97"/>
      <c r="C98" s="97"/>
      <c r="D98" s="97"/>
      <c r="E98" s="97"/>
      <c r="F98" s="97"/>
      <c r="G98" s="97"/>
      <c r="H98" s="97"/>
    </row>
    <row r="99" spans="1:8" hidden="1" x14ac:dyDescent="0.3">
      <c r="A99" s="97"/>
      <c r="B99" s="97"/>
      <c r="C99" s="97"/>
      <c r="D99" s="97"/>
      <c r="E99" s="97"/>
      <c r="F99" s="97"/>
      <c r="G99" s="97"/>
      <c r="H99" s="97"/>
    </row>
    <row r="100" spans="1:8" hidden="1" x14ac:dyDescent="0.3">
      <c r="A100" s="97"/>
      <c r="B100" s="97"/>
      <c r="C100" s="97"/>
      <c r="D100" s="97"/>
      <c r="E100" s="97"/>
      <c r="F100" s="97"/>
      <c r="G100" s="97"/>
      <c r="H100" s="97"/>
    </row>
    <row r="101" spans="1:8" hidden="1" x14ac:dyDescent="0.3">
      <c r="A101" s="97"/>
      <c r="B101" s="97"/>
      <c r="C101" s="97"/>
      <c r="D101" s="97"/>
      <c r="E101" s="97"/>
      <c r="F101" s="97"/>
      <c r="G101" s="97"/>
      <c r="H101" s="97"/>
    </row>
    <row r="102" spans="1:8" hidden="1" x14ac:dyDescent="0.3">
      <c r="A102" s="97"/>
      <c r="B102" s="97"/>
      <c r="C102" s="97"/>
      <c r="D102" s="97"/>
      <c r="E102" s="97"/>
      <c r="F102" s="97"/>
      <c r="G102" s="97"/>
      <c r="H102" s="97"/>
    </row>
    <row r="103" spans="1:8" hidden="1" x14ac:dyDescent="0.3">
      <c r="A103" s="97"/>
      <c r="B103" s="97"/>
      <c r="C103" s="97"/>
      <c r="D103" s="97"/>
      <c r="E103" s="97"/>
      <c r="F103" s="97"/>
      <c r="G103" s="97"/>
      <c r="H103" s="97"/>
    </row>
    <row r="104" spans="1:8" hidden="1" x14ac:dyDescent="0.3">
      <c r="A104" s="97"/>
      <c r="B104" s="97"/>
      <c r="C104" s="97"/>
      <c r="D104" s="97"/>
      <c r="E104" s="97"/>
      <c r="F104" s="97"/>
      <c r="G104" s="97"/>
      <c r="H104" s="97"/>
    </row>
    <row r="105" spans="1:8" hidden="1" x14ac:dyDescent="0.3">
      <c r="A105" s="97"/>
      <c r="B105" s="97"/>
      <c r="C105" s="97"/>
      <c r="D105" s="97"/>
      <c r="E105" s="97"/>
      <c r="F105" s="97"/>
      <c r="G105" s="97"/>
      <c r="H105" s="97"/>
    </row>
    <row r="106" spans="1:8" hidden="1" x14ac:dyDescent="0.3">
      <c r="A106" s="97"/>
      <c r="B106" s="97"/>
      <c r="C106" s="97"/>
      <c r="D106" s="97"/>
      <c r="E106" s="97"/>
      <c r="F106" s="97"/>
      <c r="G106" s="97"/>
      <c r="H106" s="97"/>
    </row>
    <row r="107" spans="1:8" hidden="1" x14ac:dyDescent="0.3">
      <c r="A107" s="97"/>
      <c r="B107" s="97"/>
      <c r="C107" s="97"/>
      <c r="D107" s="97"/>
      <c r="E107" s="97"/>
      <c r="F107" s="97"/>
      <c r="G107" s="97"/>
      <c r="H107" s="97"/>
    </row>
    <row r="108" spans="1:8" hidden="1" x14ac:dyDescent="0.3">
      <c r="A108" s="97"/>
      <c r="B108" s="97"/>
      <c r="C108" s="97"/>
      <c r="D108" s="97"/>
      <c r="E108" s="97"/>
      <c r="F108" s="97"/>
      <c r="G108" s="97"/>
      <c r="H108" s="97"/>
    </row>
    <row r="109" spans="1:8" hidden="1" x14ac:dyDescent="0.3">
      <c r="A109" s="97"/>
      <c r="B109" s="97"/>
      <c r="C109" s="97"/>
      <c r="D109" s="97"/>
      <c r="E109" s="97"/>
      <c r="F109" s="97"/>
      <c r="G109" s="97"/>
      <c r="H109" s="97"/>
    </row>
    <row r="110" spans="1:8" hidden="1" x14ac:dyDescent="0.3">
      <c r="A110" s="97"/>
      <c r="B110" s="97"/>
      <c r="C110" s="97"/>
      <c r="D110" s="97"/>
      <c r="E110" s="97"/>
      <c r="F110" s="97"/>
      <c r="G110" s="97"/>
      <c r="H110" s="97"/>
    </row>
    <row r="111" spans="1:8" hidden="1" x14ac:dyDescent="0.3">
      <c r="A111" s="97"/>
      <c r="B111" s="97"/>
      <c r="C111" s="97"/>
      <c r="D111" s="97"/>
      <c r="E111" s="97"/>
      <c r="F111" s="97"/>
      <c r="G111" s="97"/>
      <c r="H111" s="97"/>
    </row>
    <row r="112" spans="1:8" hidden="1" x14ac:dyDescent="0.3">
      <c r="A112" s="97"/>
      <c r="B112" s="97"/>
      <c r="C112" s="97"/>
      <c r="D112" s="97"/>
      <c r="E112" s="97"/>
      <c r="F112" s="97"/>
      <c r="G112" s="97"/>
      <c r="H112" s="97"/>
    </row>
    <row r="113" spans="1:8" hidden="1" x14ac:dyDescent="0.3">
      <c r="A113" s="97"/>
      <c r="B113" s="97"/>
      <c r="C113" s="97"/>
      <c r="D113" s="97"/>
      <c r="E113" s="97"/>
      <c r="F113" s="97"/>
      <c r="G113" s="97"/>
      <c r="H113" s="97"/>
    </row>
    <row r="114" spans="1:8" hidden="1" x14ac:dyDescent="0.3">
      <c r="A114" s="97"/>
      <c r="B114" s="97"/>
      <c r="C114" s="97"/>
      <c r="D114" s="97"/>
      <c r="E114" s="97"/>
      <c r="F114" s="97"/>
      <c r="G114" s="97"/>
      <c r="H114" s="97"/>
    </row>
    <row r="115" spans="1:8" hidden="1" x14ac:dyDescent="0.3">
      <c r="A115" s="97"/>
      <c r="B115" s="97"/>
      <c r="C115" s="97"/>
      <c r="D115" s="97"/>
      <c r="E115" s="97"/>
      <c r="F115" s="97"/>
      <c r="G115" s="97"/>
      <c r="H115" s="97"/>
    </row>
    <row r="116" spans="1:8" hidden="1" x14ac:dyDescent="0.3">
      <c r="A116" s="97"/>
      <c r="B116" s="97"/>
      <c r="C116" s="97"/>
      <c r="D116" s="97"/>
      <c r="E116" s="97"/>
      <c r="F116" s="97"/>
      <c r="G116" s="97"/>
      <c r="H116" s="97"/>
    </row>
    <row r="117" spans="1:8" hidden="1" x14ac:dyDescent="0.3">
      <c r="A117" s="97"/>
      <c r="B117" s="97"/>
      <c r="C117" s="97"/>
      <c r="D117" s="97"/>
      <c r="E117" s="97"/>
      <c r="F117" s="97"/>
      <c r="G117" s="97"/>
      <c r="H117" s="97"/>
    </row>
    <row r="118" spans="1:8" hidden="1" x14ac:dyDescent="0.3">
      <c r="A118" s="97"/>
      <c r="B118" s="97"/>
      <c r="C118" s="97"/>
      <c r="D118" s="97"/>
      <c r="E118" s="97"/>
      <c r="F118" s="97"/>
      <c r="G118" s="97"/>
      <c r="H118" s="97"/>
    </row>
    <row r="119" spans="1:8" hidden="1" x14ac:dyDescent="0.3">
      <c r="A119" s="97"/>
      <c r="B119" s="97"/>
      <c r="C119" s="97"/>
      <c r="D119" s="97"/>
      <c r="E119" s="97"/>
      <c r="F119" s="97"/>
      <c r="G119" s="97"/>
      <c r="H119" s="97"/>
    </row>
    <row r="120" spans="1:8" hidden="1" x14ac:dyDescent="0.3">
      <c r="A120" s="97"/>
      <c r="B120" s="97"/>
      <c r="C120" s="97"/>
      <c r="D120" s="97"/>
      <c r="E120" s="97"/>
      <c r="F120" s="97"/>
      <c r="G120" s="97"/>
      <c r="H120" s="97"/>
    </row>
    <row r="121" spans="1:8" hidden="1" x14ac:dyDescent="0.3">
      <c r="A121" s="97"/>
      <c r="B121" s="97"/>
      <c r="C121" s="97"/>
      <c r="D121" s="97"/>
      <c r="E121" s="97"/>
      <c r="F121" s="97"/>
      <c r="G121" s="97"/>
      <c r="H121" s="97"/>
    </row>
    <row r="122" spans="1:8" hidden="1" x14ac:dyDescent="0.3">
      <c r="A122" s="97"/>
      <c r="B122" s="97"/>
      <c r="C122" s="97"/>
      <c r="D122" s="97"/>
      <c r="E122" s="97"/>
      <c r="F122" s="97"/>
      <c r="G122" s="97"/>
      <c r="H122" s="97"/>
    </row>
    <row r="123" spans="1:8" hidden="1" x14ac:dyDescent="0.3">
      <c r="A123" s="97"/>
      <c r="B123" s="97"/>
      <c r="C123" s="97"/>
      <c r="D123" s="97"/>
      <c r="E123" s="97"/>
      <c r="F123" s="97"/>
      <c r="G123" s="97"/>
      <c r="H123" s="97"/>
    </row>
    <row r="124" spans="1:8" hidden="1" x14ac:dyDescent="0.3">
      <c r="A124" s="97"/>
      <c r="B124" s="97"/>
      <c r="C124" s="97"/>
      <c r="D124" s="97"/>
      <c r="E124" s="97"/>
      <c r="F124" s="97"/>
      <c r="G124" s="97"/>
      <c r="H124" s="97"/>
    </row>
    <row r="125" spans="1:8" hidden="1" x14ac:dyDescent="0.3">
      <c r="A125" s="97"/>
      <c r="B125" s="97"/>
      <c r="C125" s="97"/>
      <c r="D125" s="97"/>
      <c r="E125" s="97"/>
      <c r="F125" s="97"/>
      <c r="G125" s="97"/>
      <c r="H125" s="97"/>
    </row>
    <row r="126" spans="1:8" hidden="1" x14ac:dyDescent="0.3">
      <c r="A126" s="97"/>
      <c r="B126" s="97"/>
      <c r="C126" s="97"/>
      <c r="D126" s="97"/>
      <c r="E126" s="97"/>
      <c r="F126" s="97"/>
      <c r="G126" s="97"/>
      <c r="H126" s="97"/>
    </row>
    <row r="127" spans="1:8" hidden="1" x14ac:dyDescent="0.3">
      <c r="A127" s="97"/>
      <c r="B127" s="97"/>
      <c r="C127" s="97"/>
      <c r="D127" s="97"/>
      <c r="E127" s="97"/>
      <c r="F127" s="97"/>
      <c r="G127" s="97"/>
      <c r="H127" s="97"/>
    </row>
    <row r="128" spans="1:8" hidden="1" x14ac:dyDescent="0.3">
      <c r="A128" s="97"/>
      <c r="B128" s="97"/>
      <c r="C128" s="97"/>
      <c r="D128" s="97"/>
      <c r="E128" s="97"/>
      <c r="F128" s="97"/>
      <c r="G128" s="97"/>
      <c r="H128" s="97"/>
    </row>
    <row r="129" spans="1:8" hidden="1" x14ac:dyDescent="0.3">
      <c r="A129" s="97"/>
      <c r="B129" s="97"/>
      <c r="C129" s="97"/>
      <c r="D129" s="97"/>
      <c r="E129" s="97"/>
      <c r="F129" s="97"/>
      <c r="G129" s="97"/>
      <c r="H129" s="97"/>
    </row>
    <row r="130" spans="1:8" hidden="1" x14ac:dyDescent="0.3">
      <c r="A130" s="97"/>
      <c r="B130" s="97"/>
      <c r="C130" s="97"/>
      <c r="D130" s="97"/>
      <c r="E130" s="97"/>
      <c r="F130" s="97"/>
      <c r="G130" s="97"/>
      <c r="H130" s="97"/>
    </row>
    <row r="131" spans="1:8" hidden="1" x14ac:dyDescent="0.3">
      <c r="A131" s="97"/>
      <c r="B131" s="97"/>
      <c r="C131" s="97"/>
      <c r="D131" s="97"/>
      <c r="E131" s="97"/>
      <c r="F131" s="97"/>
      <c r="G131" s="97"/>
      <c r="H131" s="97"/>
    </row>
    <row r="132" spans="1:8" hidden="1" x14ac:dyDescent="0.3">
      <c r="A132" s="97"/>
      <c r="B132" s="97"/>
      <c r="C132" s="97"/>
      <c r="D132" s="97"/>
      <c r="E132" s="97"/>
      <c r="F132" s="97"/>
      <c r="G132" s="97"/>
      <c r="H132" s="97"/>
    </row>
    <row r="133" spans="1:8" hidden="1" x14ac:dyDescent="0.3">
      <c r="A133" s="97"/>
      <c r="B133" s="97"/>
      <c r="C133" s="97"/>
      <c r="D133" s="97"/>
      <c r="E133" s="97"/>
      <c r="F133" s="97"/>
      <c r="G133" s="97"/>
      <c r="H133" s="97"/>
    </row>
    <row r="134" spans="1:8" hidden="1" x14ac:dyDescent="0.3">
      <c r="A134" s="97"/>
      <c r="B134" s="97"/>
      <c r="C134" s="97"/>
      <c r="D134" s="97"/>
      <c r="E134" s="97"/>
      <c r="F134" s="97"/>
      <c r="G134" s="97"/>
      <c r="H134" s="97"/>
    </row>
    <row r="135" spans="1:8" hidden="1" x14ac:dyDescent="0.3">
      <c r="A135" s="97"/>
      <c r="B135" s="97"/>
      <c r="C135" s="97"/>
      <c r="D135" s="97"/>
      <c r="E135" s="97"/>
      <c r="F135" s="97"/>
      <c r="G135" s="97"/>
      <c r="H135" s="97"/>
    </row>
    <row r="136" spans="1:8" hidden="1" x14ac:dyDescent="0.3">
      <c r="A136" s="97"/>
      <c r="B136" s="97"/>
      <c r="C136" s="97"/>
      <c r="D136" s="97"/>
      <c r="E136" s="97"/>
      <c r="F136" s="97"/>
      <c r="G136" s="97"/>
      <c r="H136" s="97"/>
    </row>
    <row r="137" spans="1:8" hidden="1" x14ac:dyDescent="0.3">
      <c r="A137" s="97"/>
      <c r="B137" s="97"/>
      <c r="C137" s="97"/>
      <c r="D137" s="97"/>
      <c r="E137" s="97"/>
      <c r="F137" s="97"/>
      <c r="G137" s="97"/>
      <c r="H137" s="97"/>
    </row>
    <row r="138" spans="1:8" hidden="1" x14ac:dyDescent="0.3">
      <c r="A138" s="97"/>
      <c r="B138" s="97"/>
      <c r="C138" s="97"/>
      <c r="D138" s="97"/>
      <c r="E138" s="97"/>
      <c r="F138" s="97"/>
      <c r="G138" s="97"/>
      <c r="H138" s="97"/>
    </row>
    <row r="139" spans="1:8" hidden="1" x14ac:dyDescent="0.3">
      <c r="A139" s="97"/>
      <c r="B139" s="97"/>
      <c r="C139" s="97"/>
      <c r="D139" s="97"/>
      <c r="E139" s="97"/>
      <c r="F139" s="97"/>
      <c r="G139" s="97"/>
      <c r="H139" s="97"/>
    </row>
    <row r="140" spans="1:8" hidden="1" x14ac:dyDescent="0.3">
      <c r="A140" s="97"/>
      <c r="B140" s="97"/>
      <c r="C140" s="97"/>
      <c r="D140" s="97"/>
      <c r="E140" s="97"/>
      <c r="F140" s="97"/>
      <c r="G140" s="97"/>
      <c r="H140" s="97"/>
    </row>
    <row r="141" spans="1:8" hidden="1" x14ac:dyDescent="0.3">
      <c r="A141" s="97"/>
      <c r="B141" s="97"/>
      <c r="C141" s="97"/>
      <c r="D141" s="97"/>
      <c r="E141" s="97"/>
      <c r="F141" s="97"/>
      <c r="G141" s="97"/>
      <c r="H141" s="97"/>
    </row>
    <row r="142" spans="1:8" hidden="1" x14ac:dyDescent="0.3">
      <c r="A142" s="97"/>
      <c r="B142" s="97"/>
      <c r="C142" s="97"/>
      <c r="D142" s="97"/>
      <c r="E142" s="97"/>
      <c r="F142" s="97"/>
      <c r="G142" s="97"/>
      <c r="H142" s="97"/>
    </row>
    <row r="143" spans="1:8" hidden="1" x14ac:dyDescent="0.3">
      <c r="A143" s="97"/>
      <c r="B143" s="97"/>
      <c r="C143" s="97"/>
      <c r="D143" s="97"/>
      <c r="E143" s="97"/>
      <c r="F143" s="97"/>
      <c r="G143" s="97"/>
      <c r="H143" s="97"/>
    </row>
    <row r="144" spans="1:8" hidden="1" x14ac:dyDescent="0.3">
      <c r="A144" s="97"/>
      <c r="B144" s="97"/>
      <c r="C144" s="97"/>
      <c r="D144" s="97"/>
      <c r="E144" s="97"/>
      <c r="F144" s="97"/>
      <c r="G144" s="97"/>
      <c r="H144" s="97"/>
    </row>
    <row r="145" spans="1:8" hidden="1" x14ac:dyDescent="0.3">
      <c r="A145" s="97"/>
      <c r="B145" s="97"/>
      <c r="C145" s="97"/>
      <c r="D145" s="97"/>
      <c r="E145" s="97"/>
      <c r="F145" s="97"/>
      <c r="G145" s="97"/>
      <c r="H145" s="97"/>
    </row>
    <row r="146" spans="1:8" hidden="1" x14ac:dyDescent="0.3">
      <c r="A146" s="97"/>
      <c r="B146" s="97"/>
      <c r="C146" s="97"/>
      <c r="D146" s="97"/>
      <c r="E146" s="97"/>
      <c r="F146" s="97"/>
      <c r="G146" s="97"/>
      <c r="H146" s="97"/>
    </row>
    <row r="147" spans="1:8" hidden="1" x14ac:dyDescent="0.3">
      <c r="A147" s="97"/>
      <c r="B147" s="97"/>
      <c r="C147" s="97"/>
      <c r="D147" s="97"/>
      <c r="E147" s="97"/>
      <c r="F147" s="97"/>
      <c r="G147" s="97"/>
      <c r="H147" s="97"/>
    </row>
    <row r="148" spans="1:8" hidden="1" x14ac:dyDescent="0.3">
      <c r="A148" s="97"/>
      <c r="B148" s="97"/>
      <c r="C148" s="97"/>
      <c r="D148" s="97"/>
      <c r="E148" s="97"/>
      <c r="F148" s="97"/>
      <c r="G148" s="97"/>
      <c r="H148" s="97"/>
    </row>
    <row r="149" spans="1:8" hidden="1" x14ac:dyDescent="0.3">
      <c r="A149" s="97"/>
      <c r="B149" s="97"/>
      <c r="C149" s="97"/>
      <c r="D149" s="97"/>
      <c r="E149" s="97"/>
      <c r="F149" s="97"/>
      <c r="G149" s="97"/>
      <c r="H149" s="97"/>
    </row>
    <row r="150" spans="1:8" hidden="1" x14ac:dyDescent="0.3">
      <c r="A150" s="97"/>
      <c r="B150" s="97"/>
      <c r="C150" s="97"/>
      <c r="D150" s="97"/>
      <c r="E150" s="97"/>
      <c r="F150" s="97"/>
      <c r="G150" s="97"/>
      <c r="H150" s="97"/>
    </row>
    <row r="151" spans="1:8" hidden="1" x14ac:dyDescent="0.3">
      <c r="A151" s="97"/>
      <c r="B151" s="97"/>
      <c r="C151" s="97"/>
    </row>
    <row r="152" spans="1:8" hidden="1" x14ac:dyDescent="0.3">
      <c r="A152" s="97"/>
      <c r="B152" s="97"/>
      <c r="C152" s="97"/>
    </row>
    <row r="153" spans="1:8" hidden="1" x14ac:dyDescent="0.3">
      <c r="A153" s="97"/>
      <c r="B153" s="97"/>
      <c r="C153" s="97"/>
    </row>
    <row r="154" spans="1:8" hidden="1" x14ac:dyDescent="0.3">
      <c r="A154" s="97"/>
      <c r="B154" s="97"/>
      <c r="C154" s="97"/>
    </row>
    <row r="155" spans="1:8" hidden="1" x14ac:dyDescent="0.3">
      <c r="A155" s="97"/>
      <c r="B155" s="97"/>
      <c r="C155" s="97"/>
    </row>
    <row r="156" spans="1:8" hidden="1" x14ac:dyDescent="0.3">
      <c r="A156" s="97"/>
      <c r="B156" s="97"/>
      <c r="C156" s="97"/>
    </row>
    <row r="157" spans="1:8" hidden="1" x14ac:dyDescent="0.3">
      <c r="A157" s="97"/>
      <c r="B157" s="97"/>
      <c r="C157" s="97"/>
    </row>
  </sheetData>
  <sheetProtection algorithmName="SHA-512" hashValue="EmqrClNIRDnSxrV/2MQgHeJifKtVm0+/6N01XW+bfpiDhMztKlscttsSL6HPPG2Uwv0GS+6K/y971SbZpwRhVg==" saltValue="dWdqNwtSu44KuHj9+KImXQ==" spinCount="100000" sheet="1" autoFilter="0"/>
  <autoFilter ref="B2:F83" xr:uid="{00000000-0009-0000-0000-00000B000000}"/>
  <mergeCells count="22">
    <mergeCell ref="B4:B14"/>
    <mergeCell ref="C4:C7"/>
    <mergeCell ref="C8:C12"/>
    <mergeCell ref="B15:B19"/>
    <mergeCell ref="C17:C19"/>
    <mergeCell ref="B20:B27"/>
    <mergeCell ref="C21:C27"/>
    <mergeCell ref="B28:B38"/>
    <mergeCell ref="C28:C30"/>
    <mergeCell ref="C31:C33"/>
    <mergeCell ref="C35:C38"/>
    <mergeCell ref="B39:B41"/>
    <mergeCell ref="B42:B51"/>
    <mergeCell ref="B52:B53"/>
    <mergeCell ref="B54:B56"/>
    <mergeCell ref="B57:B58"/>
    <mergeCell ref="B59:B79"/>
    <mergeCell ref="C64:C65"/>
    <mergeCell ref="C68:C69"/>
    <mergeCell ref="C77:C78"/>
    <mergeCell ref="B80:B83"/>
    <mergeCell ref="C80:C8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C1FC-599F-4926-A32A-1E367FA2FBD2}">
  <sheetPr codeName="Sheet6">
    <tabColor theme="0" tint="-0.249977111117893"/>
    <pageSetUpPr fitToPage="1"/>
  </sheetPr>
  <dimension ref="A1:K39"/>
  <sheetViews>
    <sheetView topLeftCell="A9" zoomScale="80" zoomScaleNormal="80" workbookViewId="0"/>
  </sheetViews>
  <sheetFormatPr defaultColWidth="0" defaultRowHeight="0" customHeight="1" zeroHeight="1" x14ac:dyDescent="0.3"/>
  <cols>
    <col min="1" max="1" width="4.44140625" customWidth="1"/>
    <col min="2" max="3" width="39.33203125" customWidth="1"/>
    <col min="4" max="4" width="70.77734375" customWidth="1"/>
    <col min="5" max="5" width="6" customWidth="1"/>
    <col min="6" max="6" width="13.6640625" customWidth="1"/>
    <col min="7" max="11" width="8.77734375" customWidth="1"/>
    <col min="12" max="12" width="8.77734375" hidden="1" customWidth="1"/>
    <col min="13" max="16384" width="8.77734375" hidden="1"/>
  </cols>
  <sheetData>
    <row r="1" spans="1:11" ht="15" customHeight="1" x14ac:dyDescent="0.3">
      <c r="A1" s="97"/>
      <c r="B1" s="97"/>
      <c r="C1" s="97"/>
      <c r="D1" s="97"/>
      <c r="E1" s="97"/>
      <c r="F1" s="97"/>
      <c r="G1" s="97"/>
      <c r="H1" s="97"/>
      <c r="I1" s="97"/>
      <c r="J1" s="97"/>
      <c r="K1" s="97"/>
    </row>
    <row r="2" spans="1:11" ht="32.549999999999997" customHeight="1" x14ac:dyDescent="0.3">
      <c r="A2" s="97"/>
      <c r="B2" s="622" t="s">
        <v>16</v>
      </c>
      <c r="C2" s="623"/>
      <c r="D2" s="284" t="s">
        <v>17</v>
      </c>
      <c r="E2" s="107"/>
      <c r="F2" s="97"/>
      <c r="G2" s="97"/>
      <c r="H2" s="97"/>
      <c r="I2" s="97"/>
      <c r="J2" s="97"/>
      <c r="K2" s="97"/>
    </row>
    <row r="3" spans="1:11" ht="42" customHeight="1" x14ac:dyDescent="0.3">
      <c r="A3" s="97"/>
      <c r="B3" s="610" t="s">
        <v>18</v>
      </c>
      <c r="C3" s="611"/>
      <c r="D3" s="540" t="s">
        <v>1038</v>
      </c>
      <c r="E3" s="97"/>
      <c r="F3" s="97"/>
      <c r="G3" s="97"/>
      <c r="H3" s="97"/>
      <c r="I3" s="97"/>
      <c r="J3" s="97"/>
      <c r="K3" s="97"/>
    </row>
    <row r="4" spans="1:11" ht="42" customHeight="1" x14ac:dyDescent="0.3">
      <c r="A4" s="97"/>
      <c r="B4" s="620" t="s">
        <v>19</v>
      </c>
      <c r="C4" s="621"/>
      <c r="D4" s="541" t="s">
        <v>1039</v>
      </c>
      <c r="E4" s="97"/>
      <c r="F4" s="97"/>
      <c r="G4" s="97"/>
      <c r="H4" s="97"/>
      <c r="I4" s="97"/>
      <c r="J4" s="97"/>
      <c r="K4" s="97"/>
    </row>
    <row r="5" spans="1:11" ht="42" customHeight="1" x14ac:dyDescent="0.3">
      <c r="A5" s="97"/>
      <c r="B5" s="620" t="s">
        <v>20</v>
      </c>
      <c r="C5" s="621"/>
      <c r="D5" s="541" t="s">
        <v>1040</v>
      </c>
      <c r="E5" s="97"/>
      <c r="F5" s="97"/>
      <c r="G5" s="97"/>
      <c r="H5" s="97"/>
      <c r="I5" s="97"/>
      <c r="J5" s="97"/>
      <c r="K5" s="97"/>
    </row>
    <row r="6" spans="1:11" ht="42" customHeight="1" x14ac:dyDescent="0.3">
      <c r="A6" s="97"/>
      <c r="B6" s="620" t="s">
        <v>21</v>
      </c>
      <c r="C6" s="621"/>
      <c r="D6" s="541" t="s">
        <v>1041</v>
      </c>
      <c r="E6" s="97"/>
      <c r="F6" s="97"/>
      <c r="G6" s="97"/>
      <c r="H6" s="97"/>
      <c r="I6" s="97"/>
      <c r="J6" s="97"/>
      <c r="K6" s="97"/>
    </row>
    <row r="7" spans="1:11" ht="42" customHeight="1" x14ac:dyDescent="0.3">
      <c r="A7" s="97"/>
      <c r="B7" s="620" t="s">
        <v>22</v>
      </c>
      <c r="C7" s="621"/>
      <c r="D7" s="541"/>
      <c r="E7" s="97"/>
      <c r="F7" s="97"/>
      <c r="G7" s="97"/>
      <c r="H7" s="97"/>
      <c r="I7" s="97"/>
      <c r="J7" s="97"/>
      <c r="K7" s="97"/>
    </row>
    <row r="8" spans="1:11" ht="42" customHeight="1" x14ac:dyDescent="0.3">
      <c r="A8" s="97"/>
      <c r="B8" s="620" t="s">
        <v>23</v>
      </c>
      <c r="C8" s="621"/>
      <c r="D8" s="541" t="s">
        <v>1042</v>
      </c>
      <c r="E8" s="97"/>
      <c r="F8" s="97"/>
      <c r="G8" s="97"/>
      <c r="H8" s="97"/>
      <c r="I8" s="97"/>
      <c r="J8" s="97"/>
      <c r="K8" s="97"/>
    </row>
    <row r="9" spans="1:11" ht="42" customHeight="1" x14ac:dyDescent="0.3">
      <c r="A9" s="97"/>
      <c r="B9" s="620" t="s">
        <v>24</v>
      </c>
      <c r="C9" s="621"/>
      <c r="D9" s="308" t="s">
        <v>1043</v>
      </c>
      <c r="E9" s="97"/>
      <c r="F9" s="97"/>
      <c r="G9" s="97"/>
      <c r="H9" s="97"/>
      <c r="I9" s="97"/>
      <c r="J9" s="97"/>
      <c r="K9" s="97"/>
    </row>
    <row r="10" spans="1:11" ht="42" customHeight="1" x14ac:dyDescent="0.3">
      <c r="A10" s="97"/>
      <c r="B10" s="620" t="s">
        <v>25</v>
      </c>
      <c r="C10" s="621"/>
      <c r="D10" s="541"/>
      <c r="E10" s="97"/>
      <c r="F10" s="97"/>
      <c r="G10" s="97"/>
      <c r="H10" s="97"/>
      <c r="I10" s="97"/>
      <c r="J10" s="97"/>
      <c r="K10" s="97"/>
    </row>
    <row r="11" spans="1:11" ht="42" customHeight="1" x14ac:dyDescent="0.3">
      <c r="A11" s="97"/>
      <c r="B11" s="612" t="s">
        <v>26</v>
      </c>
      <c r="C11" s="613"/>
      <c r="D11" s="542"/>
      <c r="E11" s="97"/>
      <c r="F11" s="97"/>
      <c r="G11" s="97"/>
      <c r="H11" s="97"/>
      <c r="I11" s="97"/>
      <c r="J11" s="97"/>
      <c r="K11" s="97"/>
    </row>
    <row r="12" spans="1:11" ht="42" customHeight="1" x14ac:dyDescent="0.6">
      <c r="A12" s="97"/>
      <c r="B12" s="118" t="s">
        <v>27</v>
      </c>
      <c r="C12" s="190"/>
      <c r="D12" s="191"/>
      <c r="E12" s="97"/>
      <c r="F12" s="97"/>
      <c r="G12" s="97"/>
      <c r="H12" s="97"/>
      <c r="I12" s="97"/>
      <c r="J12" s="97"/>
      <c r="K12" s="97"/>
    </row>
    <row r="13" spans="1:11" ht="42" customHeight="1" x14ac:dyDescent="0.3">
      <c r="A13" s="97"/>
      <c r="B13" s="614" t="s">
        <v>28</v>
      </c>
      <c r="C13" s="192" t="s">
        <v>29</v>
      </c>
      <c r="D13" s="543">
        <v>10</v>
      </c>
      <c r="E13" s="617" t="str">
        <f>IF(D13&lt;10,"Caution - % target reduced below default ▲",IF(D13&gt;10,"Caution -Target increased above default ⚠",""))</f>
        <v/>
      </c>
      <c r="F13" s="618"/>
      <c r="G13" s="618"/>
      <c r="H13" s="618"/>
      <c r="I13" s="618"/>
      <c r="J13" s="433"/>
      <c r="K13" s="97"/>
    </row>
    <row r="14" spans="1:11" ht="42" customHeight="1" x14ac:dyDescent="0.3">
      <c r="A14" s="97"/>
      <c r="B14" s="615"/>
      <c r="C14" s="193" t="s">
        <v>30</v>
      </c>
      <c r="D14" s="544">
        <v>10</v>
      </c>
      <c r="E14" s="617" t="str">
        <f>IF(D14&lt;10,"Caution - % target reduced below default ▲",IF(D14&gt;10,"Caution -Target increased above default ⚠",""))</f>
        <v/>
      </c>
      <c r="F14" s="618"/>
      <c r="G14" s="618"/>
      <c r="H14" s="618"/>
      <c r="I14" s="618"/>
      <c r="J14" s="97"/>
      <c r="K14" s="97"/>
    </row>
    <row r="15" spans="1:11" ht="42" customHeight="1" x14ac:dyDescent="0.3">
      <c r="A15" s="97"/>
      <c r="B15" s="616"/>
      <c r="C15" s="194" t="s">
        <v>31</v>
      </c>
      <c r="D15" s="545">
        <v>10</v>
      </c>
      <c r="E15" s="617" t="str">
        <f>IF(D15&lt;10,"Caution - % target reduced below default ▲",IF(D15&gt;10,"Caution -Target increased above default ⚠",""))</f>
        <v/>
      </c>
      <c r="F15" s="618"/>
      <c r="G15" s="618"/>
      <c r="H15" s="618"/>
      <c r="I15" s="618"/>
      <c r="J15" s="97"/>
      <c r="K15" s="97"/>
    </row>
    <row r="16" spans="1:11" ht="36.75" customHeight="1" x14ac:dyDescent="0.3">
      <c r="A16" s="97"/>
      <c r="B16" s="74"/>
      <c r="C16" s="74"/>
      <c r="D16" s="493"/>
      <c r="E16" s="97"/>
      <c r="F16" s="97"/>
      <c r="G16" s="97"/>
      <c r="H16" s="97"/>
      <c r="I16" s="97"/>
      <c r="J16" s="97"/>
      <c r="K16" s="97"/>
    </row>
    <row r="17" spans="1:11" ht="40.950000000000003" customHeight="1" x14ac:dyDescent="0.3">
      <c r="A17" s="97"/>
      <c r="B17" s="614" t="s">
        <v>32</v>
      </c>
      <c r="C17" s="192" t="s">
        <v>33</v>
      </c>
      <c r="D17" s="543">
        <v>0</v>
      </c>
      <c r="E17" s="619" t="str">
        <f>IF(D17=0,"","Unit increase Targets must be agreed with LPA ⚠")</f>
        <v/>
      </c>
      <c r="F17" s="619"/>
      <c r="G17" s="619"/>
      <c r="H17" s="619"/>
      <c r="I17" s="619"/>
      <c r="J17" s="97"/>
      <c r="K17" s="97"/>
    </row>
    <row r="18" spans="1:11" ht="40.950000000000003" customHeight="1" x14ac:dyDescent="0.3">
      <c r="A18" s="97"/>
      <c r="B18" s="615"/>
      <c r="C18" s="193" t="s">
        <v>34</v>
      </c>
      <c r="D18" s="544">
        <v>0</v>
      </c>
      <c r="E18" s="619" t="str">
        <f>IF(D18=0,"","Unit increase Targets must be agreed with LPA ⚠")</f>
        <v/>
      </c>
      <c r="F18" s="619"/>
      <c r="G18" s="619"/>
      <c r="H18" s="619"/>
      <c r="I18" s="619"/>
      <c r="J18" s="97"/>
      <c r="K18" s="97"/>
    </row>
    <row r="19" spans="1:11" ht="40.950000000000003" customHeight="1" x14ac:dyDescent="0.3">
      <c r="A19" s="97"/>
      <c r="B19" s="616"/>
      <c r="C19" s="194" t="s">
        <v>35</v>
      </c>
      <c r="D19" s="545">
        <v>0</v>
      </c>
      <c r="E19" s="619" t="str">
        <f>IF(D19=0,"","Unit increase Targets must be agreed with LPA ⚠")</f>
        <v/>
      </c>
      <c r="F19" s="619"/>
      <c r="G19" s="619"/>
      <c r="H19" s="619"/>
      <c r="I19" s="619"/>
      <c r="J19" s="97"/>
      <c r="K19" s="97"/>
    </row>
    <row r="20" spans="1:11" ht="23.55" customHeight="1" x14ac:dyDescent="0.3">
      <c r="A20" s="97"/>
      <c r="B20" s="97"/>
      <c r="C20" s="97"/>
      <c r="D20" s="97"/>
      <c r="E20" s="74"/>
      <c r="F20" s="74"/>
      <c r="G20" s="74"/>
      <c r="H20" s="74"/>
      <c r="I20" s="74"/>
      <c r="J20" s="97"/>
      <c r="K20" s="97"/>
    </row>
    <row r="21" spans="1:11" ht="34.200000000000003" customHeight="1" x14ac:dyDescent="0.3">
      <c r="A21" s="97"/>
      <c r="B21" s="609" t="s">
        <v>36</v>
      </c>
      <c r="C21" s="609"/>
      <c r="D21" s="609"/>
      <c r="E21" s="74"/>
      <c r="F21" s="74"/>
      <c r="G21" s="74"/>
      <c r="H21" s="74"/>
      <c r="I21" s="74"/>
      <c r="J21" s="97"/>
      <c r="K21" s="97"/>
    </row>
    <row r="22" spans="1:11" ht="40.950000000000003" customHeight="1" x14ac:dyDescent="0.3">
      <c r="A22" s="97"/>
      <c r="B22" s="610" t="s">
        <v>37</v>
      </c>
      <c r="C22" s="611"/>
      <c r="D22" s="540"/>
      <c r="E22" s="74"/>
      <c r="F22" s="74"/>
      <c r="G22" s="74"/>
      <c r="H22" s="74"/>
      <c r="I22" s="74"/>
      <c r="J22" s="97"/>
      <c r="K22" s="97"/>
    </row>
    <row r="23" spans="1:11" ht="40.950000000000003" customHeight="1" x14ac:dyDescent="0.3">
      <c r="A23" s="97"/>
      <c r="B23" s="612" t="s">
        <v>38</v>
      </c>
      <c r="C23" s="613"/>
      <c r="D23" s="309"/>
      <c r="E23" s="74"/>
      <c r="F23" s="74"/>
      <c r="G23" s="74"/>
      <c r="H23" s="74"/>
      <c r="I23" s="74"/>
      <c r="J23" s="97"/>
      <c r="K23" s="97"/>
    </row>
    <row r="24" spans="1:11" ht="40.950000000000003" customHeight="1" x14ac:dyDescent="0.3">
      <c r="A24" s="97"/>
      <c r="B24" s="97"/>
      <c r="C24" s="97"/>
      <c r="D24" s="97"/>
      <c r="E24" s="97"/>
      <c r="F24" s="73"/>
      <c r="G24" s="73"/>
      <c r="H24" s="73"/>
      <c r="I24" s="73"/>
      <c r="J24" s="97"/>
      <c r="K24" s="97"/>
    </row>
    <row r="25" spans="1:11" ht="40.950000000000003" hidden="1" customHeight="1" x14ac:dyDescent="0.3">
      <c r="A25" s="97"/>
      <c r="B25" s="97"/>
      <c r="C25" s="97"/>
      <c r="D25" s="97"/>
      <c r="E25" s="97"/>
      <c r="F25" s="73"/>
      <c r="G25" s="73"/>
      <c r="H25" s="73"/>
      <c r="I25" s="73"/>
      <c r="J25" s="97"/>
      <c r="K25" s="97"/>
    </row>
    <row r="26" spans="1:11" ht="40.950000000000003" hidden="1" customHeight="1" x14ac:dyDescent="0.3">
      <c r="A26" s="97"/>
      <c r="B26" s="97"/>
      <c r="C26" s="97"/>
      <c r="D26" s="97"/>
      <c r="E26" s="97"/>
      <c r="F26" s="73"/>
      <c r="G26" s="73"/>
      <c r="H26" s="73"/>
      <c r="I26" s="73"/>
      <c r="J26" s="97"/>
      <c r="K26" s="97"/>
    </row>
    <row r="27" spans="1:11" ht="40.950000000000003" hidden="1" customHeight="1" x14ac:dyDescent="0.3">
      <c r="A27" s="97"/>
      <c r="B27" s="97"/>
      <c r="C27" s="97"/>
      <c r="D27" s="97"/>
      <c r="E27" s="97"/>
      <c r="F27" s="73"/>
      <c r="G27" s="73"/>
      <c r="H27" s="73"/>
      <c r="I27" s="73"/>
      <c r="J27" s="97"/>
      <c r="K27" s="97"/>
    </row>
    <row r="28" spans="1:11" ht="36.75" hidden="1" customHeight="1" x14ac:dyDescent="0.3">
      <c r="A28" s="97"/>
      <c r="B28" s="97"/>
      <c r="C28" s="97"/>
      <c r="D28" s="97"/>
      <c r="E28" s="97"/>
      <c r="F28" s="97"/>
      <c r="G28" s="97"/>
      <c r="H28" s="97"/>
      <c r="I28" s="97"/>
      <c r="J28" s="97"/>
      <c r="K28" s="97"/>
    </row>
    <row r="29" spans="1:11" ht="14.55" hidden="1" customHeight="1" x14ac:dyDescent="0.3">
      <c r="A29" s="97"/>
      <c r="B29" s="97"/>
      <c r="C29" s="97"/>
      <c r="D29" s="97"/>
      <c r="E29" s="97"/>
      <c r="F29" s="97"/>
      <c r="G29" s="97"/>
      <c r="H29" s="97"/>
      <c r="I29" s="97"/>
      <c r="J29" s="97"/>
      <c r="K29" s="97"/>
    </row>
    <row r="30" spans="1:11" ht="14.55" hidden="1" customHeight="1" x14ac:dyDescent="0.3">
      <c r="A30" s="97"/>
      <c r="B30" s="97"/>
      <c r="C30" s="97"/>
      <c r="D30" s="97"/>
      <c r="E30" s="97"/>
      <c r="F30" s="97"/>
      <c r="G30" s="97"/>
      <c r="H30" s="97"/>
      <c r="I30" s="97"/>
      <c r="J30" s="97"/>
      <c r="K30" s="97"/>
    </row>
    <row r="31" spans="1:11" ht="14.55" hidden="1" customHeight="1" x14ac:dyDescent="0.3">
      <c r="A31" s="97"/>
      <c r="B31" s="97"/>
      <c r="C31" s="97"/>
      <c r="D31" s="97"/>
      <c r="E31" s="97"/>
      <c r="F31" s="97"/>
      <c r="G31" s="97"/>
      <c r="H31" s="97"/>
      <c r="I31" s="97"/>
      <c r="J31" s="97"/>
      <c r="K31" s="97"/>
    </row>
    <row r="32" spans="1:11" ht="14.55" hidden="1" customHeight="1" x14ac:dyDescent="0.3">
      <c r="A32" s="97"/>
      <c r="B32" s="97"/>
      <c r="C32" s="97"/>
      <c r="D32" s="97"/>
      <c r="E32" s="97"/>
      <c r="F32" s="97"/>
      <c r="G32" s="97"/>
      <c r="H32" s="97"/>
      <c r="I32" s="97"/>
      <c r="J32" s="97"/>
      <c r="K32" s="97"/>
    </row>
    <row r="33" spans="1:11" ht="15" hidden="1" customHeight="1" x14ac:dyDescent="0.3">
      <c r="A33" s="97"/>
      <c r="B33" s="97"/>
      <c r="C33" s="97"/>
      <c r="D33" s="97"/>
      <c r="E33" s="97"/>
      <c r="F33" s="97"/>
      <c r="G33" s="97"/>
      <c r="H33" s="97"/>
      <c r="I33" s="97"/>
      <c r="J33" s="97"/>
      <c r="K33" s="97"/>
    </row>
    <row r="34" spans="1:11" ht="14.55" hidden="1" customHeight="1" x14ac:dyDescent="0.3">
      <c r="A34" s="97"/>
      <c r="B34" s="97"/>
      <c r="C34" s="97"/>
      <c r="D34" s="97"/>
      <c r="E34" s="97"/>
      <c r="F34" s="97"/>
      <c r="G34" s="97"/>
      <c r="H34" s="97"/>
      <c r="I34" s="97"/>
      <c r="J34" s="97"/>
      <c r="K34" s="97"/>
    </row>
    <row r="35" spans="1:11" ht="14.55" hidden="1" customHeight="1" x14ac:dyDescent="0.3">
      <c r="A35" s="97"/>
      <c r="B35" s="97"/>
      <c r="C35" s="97"/>
      <c r="D35" s="97"/>
      <c r="E35" s="97"/>
      <c r="F35" s="97"/>
      <c r="G35" s="97"/>
      <c r="H35" s="97"/>
      <c r="I35" s="97"/>
      <c r="J35" s="97"/>
      <c r="K35" s="97"/>
    </row>
    <row r="36" spans="1:11" ht="14.55" hidden="1" customHeight="1" x14ac:dyDescent="0.3">
      <c r="A36" s="97"/>
      <c r="B36" s="97"/>
      <c r="C36" s="97"/>
      <c r="D36" s="97"/>
      <c r="E36" s="97"/>
      <c r="F36" s="97"/>
      <c r="G36" s="97"/>
      <c r="H36" s="97"/>
      <c r="I36" s="97"/>
      <c r="J36" s="97"/>
      <c r="K36" s="97"/>
    </row>
    <row r="37" spans="1:11" ht="14.55" hidden="1" customHeight="1" x14ac:dyDescent="0.3">
      <c r="A37" s="97"/>
      <c r="B37" s="97"/>
      <c r="C37" s="97"/>
      <c r="D37" s="97"/>
      <c r="E37" s="97"/>
      <c r="F37" s="97"/>
      <c r="G37" s="97"/>
      <c r="H37" s="97"/>
      <c r="I37" s="97"/>
      <c r="J37" s="97"/>
      <c r="K37" s="97"/>
    </row>
    <row r="38" spans="1:11" ht="14.55" hidden="1" customHeight="1" x14ac:dyDescent="0.3"/>
    <row r="39" spans="1:11" ht="14.55" hidden="1" customHeight="1" x14ac:dyDescent="0.3"/>
  </sheetData>
  <sheetProtection algorithmName="SHA-512" hashValue="R5rLHx9ZorY/Nrf5jnXd5Oum/mRxZZ/5TArImXZDxEd524Uh/pfOSnqEqWgFTq4mSwVyXnM+56SGMrWpCGnADQ==" saltValue="UytS3xmmERYa1et+zX2kdA==" spinCount="100000" sheet="1" objects="1"/>
  <mergeCells count="21">
    <mergeCell ref="B2:C2"/>
    <mergeCell ref="B3:C3"/>
    <mergeCell ref="B4:C4"/>
    <mergeCell ref="B5:C5"/>
    <mergeCell ref="B6:C6"/>
    <mergeCell ref="B7:C7"/>
    <mergeCell ref="B8:C8"/>
    <mergeCell ref="B9:C9"/>
    <mergeCell ref="B10:C10"/>
    <mergeCell ref="B11:C11"/>
    <mergeCell ref="B21:D21"/>
    <mergeCell ref="B22:C22"/>
    <mergeCell ref="B23:C23"/>
    <mergeCell ref="B13:B15"/>
    <mergeCell ref="E13:I13"/>
    <mergeCell ref="E14:I14"/>
    <mergeCell ref="E15:I15"/>
    <mergeCell ref="B17:B19"/>
    <mergeCell ref="E17:I17"/>
    <mergeCell ref="E18:I18"/>
    <mergeCell ref="E19:I19"/>
  </mergeCells>
  <conditionalFormatting sqref="D13:D15">
    <cfRule type="cellIs" dxfId="199" priority="4" operator="greaterThan">
      <formula>10</formula>
    </cfRule>
    <cfRule type="cellIs" dxfId="198" priority="5" operator="lessThan">
      <formula>10</formula>
    </cfRule>
  </conditionalFormatting>
  <conditionalFormatting sqref="D17:D19">
    <cfRule type="cellIs" dxfId="197" priority="2" operator="lessThan">
      <formula>0</formula>
    </cfRule>
  </conditionalFormatting>
  <conditionalFormatting sqref="E13:I15">
    <cfRule type="expression" dxfId="196" priority="6">
      <formula>$D13&gt;10</formula>
    </cfRule>
    <cfRule type="expression" dxfId="195" priority="7">
      <formula>$D13&lt;10</formula>
    </cfRule>
  </conditionalFormatting>
  <conditionalFormatting sqref="E17:I19 F24:I27">
    <cfRule type="containsText" dxfId="194" priority="1" operator="containsText" text="LPA">
      <formula>NOT(ISERROR(SEARCH("LPA",E17)))</formula>
    </cfRule>
    <cfRule type="containsText" dxfId="193" priority="3" operator="containsText" text="Caution - % changed from default">
      <formula>NOT(ISERROR(SEARCH("Caution - % changed from default",E17)))</formula>
    </cfRule>
  </conditionalFormatting>
  <dataValidations count="3">
    <dataValidation type="date" operator="lessThanOrEqual" allowBlank="1" showInputMessage="1" showErrorMessage="1" errorTitle="Error" error="Future dates cannot be added" sqref="D9 D23" xr:uid="{00000000-0002-0000-0100-000000000000}">
      <formula1>TODAY()</formula1>
    </dataValidation>
    <dataValidation errorStyle="warning" allowBlank="1" showInputMessage="1" showErrorMessage="1" errorTitle="Caution" error="Please chek full list before entering non standrad LPA." sqref="D3" xr:uid="{00000000-0002-0000-0100-000001000000}"/>
    <dataValidation type="whole" allowBlank="1" showInputMessage="1" showErrorMessage="1" sqref="D13:D19" xr:uid="{00000000-0002-0000-0100-000002000000}">
      <formula1>0</formula1>
      <formula2>10000000000</formula2>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errorStyle="warning" allowBlank="1" showErrorMessage="1" errorTitle="Caution" error="Please select from list where possible" xr:uid="{F22E5406-B080-4AF5-8C83-D58282F2255F}">
          <x14:formula1>
            <xm:f>'11. Lists'!$X$36:$X$50</xm:f>
          </x14:formula1>
          <xm:sqref>D6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6E98-0B16-42D9-B147-2811A844B476}">
  <sheetPr codeName="Sheet7">
    <tabColor theme="0" tint="-0.249977111117893"/>
    <pageSetUpPr fitToPage="1"/>
  </sheetPr>
  <dimension ref="A1:R39"/>
  <sheetViews>
    <sheetView topLeftCell="A13" zoomScale="80" zoomScaleNormal="80" workbookViewId="0">
      <selection activeCell="F17" sqref="F17"/>
    </sheetView>
  </sheetViews>
  <sheetFormatPr defaultColWidth="0" defaultRowHeight="14.4" zeroHeight="1" x14ac:dyDescent="0.3"/>
  <cols>
    <col min="1" max="1" width="4.44140625" customWidth="1"/>
    <col min="2" max="2" width="63.33203125" customWidth="1"/>
    <col min="3" max="3" width="48.77734375" bestFit="1" customWidth="1"/>
    <col min="4" max="4" width="46.77734375" customWidth="1"/>
    <col min="5" max="8" width="8.77734375" customWidth="1"/>
    <col min="9" max="13" width="8.77734375" hidden="1" customWidth="1"/>
    <col min="14" max="18" width="0" hidden="1" customWidth="1"/>
    <col min="19" max="19" width="8.77734375" hidden="1" customWidth="1"/>
    <col min="20" max="16384" width="8.77734375" hidden="1"/>
  </cols>
  <sheetData>
    <row r="1" spans="1:14" ht="15" customHeight="1" x14ac:dyDescent="0.3">
      <c r="A1" s="97"/>
      <c r="B1" s="97"/>
      <c r="C1" s="97"/>
      <c r="D1" s="97"/>
      <c r="E1" s="97"/>
      <c r="F1" s="97"/>
      <c r="G1" s="97"/>
      <c r="H1" s="97"/>
      <c r="I1" s="97"/>
      <c r="J1" s="97"/>
      <c r="K1" s="97"/>
      <c r="L1" s="97"/>
      <c r="M1" s="97"/>
      <c r="N1" s="97"/>
    </row>
    <row r="2" spans="1:14" ht="24" customHeight="1" x14ac:dyDescent="0.3">
      <c r="A2" s="115"/>
      <c r="B2" s="15" t="s">
        <v>39</v>
      </c>
      <c r="C2" s="628" t="str">
        <f>IF('2. Site Details'!D4="","Enter site name on 2. Site Details",'2. Site Details'!D4)</f>
        <v>4788</v>
      </c>
      <c r="D2" s="629"/>
      <c r="E2" s="97"/>
      <c r="F2" s="97"/>
      <c r="G2" s="97"/>
      <c r="H2" s="97"/>
      <c r="I2" s="97"/>
      <c r="J2" s="97"/>
      <c r="K2" s="97"/>
      <c r="L2" s="97"/>
      <c r="M2" s="97"/>
      <c r="N2" s="97"/>
    </row>
    <row r="3" spans="1:14" ht="24" customHeight="1" x14ac:dyDescent="0.3">
      <c r="A3" s="115"/>
      <c r="B3" s="13" t="s">
        <v>16</v>
      </c>
      <c r="C3" s="630" t="s">
        <v>40</v>
      </c>
      <c r="D3" s="631"/>
      <c r="E3" s="97"/>
      <c r="F3" s="97"/>
      <c r="G3" s="97"/>
      <c r="H3" s="97"/>
      <c r="I3" s="97"/>
      <c r="J3" s="97"/>
      <c r="K3" s="97"/>
      <c r="L3" s="97"/>
      <c r="M3" s="97"/>
      <c r="N3" s="97"/>
    </row>
    <row r="4" spans="1:14" ht="14.55" customHeight="1" x14ac:dyDescent="0.3">
      <c r="A4" s="115"/>
      <c r="B4" s="115"/>
      <c r="C4" s="115"/>
      <c r="D4" s="115"/>
      <c r="E4" s="97"/>
      <c r="F4" s="97"/>
      <c r="G4" s="97"/>
      <c r="H4" s="97"/>
      <c r="I4" s="97"/>
      <c r="J4" s="97"/>
      <c r="K4" s="97"/>
      <c r="L4" s="97"/>
      <c r="M4" s="97"/>
      <c r="N4" s="97"/>
    </row>
    <row r="5" spans="1:14" ht="36" customHeight="1" x14ac:dyDescent="0.3">
      <c r="A5" s="107"/>
      <c r="B5" s="118" t="s">
        <v>41</v>
      </c>
      <c r="C5" s="546"/>
      <c r="D5" s="546"/>
      <c r="E5" s="97"/>
      <c r="F5" s="97"/>
      <c r="G5" s="97"/>
      <c r="H5" s="97"/>
      <c r="I5" s="97"/>
      <c r="J5" s="97"/>
      <c r="K5" s="97"/>
      <c r="L5" s="97"/>
      <c r="M5" s="97"/>
      <c r="N5" s="97"/>
    </row>
    <row r="6" spans="1:14" ht="42" customHeight="1" x14ac:dyDescent="0.3">
      <c r="A6" s="97"/>
      <c r="B6" s="104" t="s">
        <v>42</v>
      </c>
      <c r="C6" s="195" t="s">
        <v>1044</v>
      </c>
      <c r="D6" s="547" t="str">
        <f>IF(AND(C6="Residential",C9="Unknown number"),"Site area must be less than 5,000 m2",IF(C6="","","Site area must be less than 10,000 m2"))</f>
        <v>Site area must be less than 10,000 m2</v>
      </c>
      <c r="E6" s="632" t="str">
        <f>IF(AND(C9="Unknown number", C6="Residential"),"Site area limited by unknown number of dwellings ⚠", "")</f>
        <v/>
      </c>
      <c r="F6" s="633"/>
      <c r="G6" s="633"/>
      <c r="H6" s="633"/>
      <c r="I6" s="97"/>
      <c r="J6" s="97"/>
      <c r="K6" s="97"/>
      <c r="L6" s="97"/>
      <c r="M6" s="97"/>
      <c r="N6" s="97"/>
    </row>
    <row r="7" spans="1:14" ht="42" customHeight="1" x14ac:dyDescent="0.3">
      <c r="A7" s="97"/>
      <c r="B7" s="108" t="s">
        <v>43</v>
      </c>
      <c r="C7" s="196">
        <v>181.41</v>
      </c>
      <c r="D7" s="548" t="str">
        <f>IF(AND(D6="Site area must be less than 10,000 m2",C7&gt;=10000),"ERROR- Site too large for metric  - USE MAIN METRIC ▲",IF(AND(D6="Site area must be less than 5,000 m2",C7&gt;=5000),"ERROR- Site too large for metric  - USE MAIN METRIC ▲",""))</f>
        <v/>
      </c>
      <c r="E7" s="97"/>
      <c r="F7" s="97"/>
      <c r="G7" s="97"/>
      <c r="H7" s="97"/>
      <c r="I7" s="97"/>
      <c r="J7" s="97"/>
      <c r="K7" s="97"/>
      <c r="L7" s="97"/>
      <c r="M7" s="97"/>
      <c r="N7" s="97"/>
    </row>
    <row r="8" spans="1:14" ht="42" customHeight="1" x14ac:dyDescent="0.3">
      <c r="A8" s="97"/>
      <c r="B8" s="395" t="str">
        <f>IF(OR(C6="Residential",C6="Other"),"N/A",IF(C6="","","16. Building footprint (m2) of commercial buildings proposed within the development site (or zero if none)"))</f>
        <v>16. Building footprint (m2) of commercial buildings proposed within the development site (or zero if none)</v>
      </c>
      <c r="C8" s="196">
        <v>181.41</v>
      </c>
      <c r="D8" s="549" t="str">
        <f>IF(AND(B8="n/a",C8&lt;&gt;""),"ERROR- Not required",IF(AND(C8&lt;&gt;"",C8&gt;=1000),"ERROR- Footprint too large for metric  - USE MAIN METRIC",IF(AND(C8&lt;&gt;"",C8&gt;C7),"ERROR - Footprint larger than development area","")))</f>
        <v/>
      </c>
      <c r="E8" s="97"/>
      <c r="F8" s="97"/>
      <c r="G8" s="97"/>
      <c r="H8" s="97"/>
      <c r="I8" s="97"/>
      <c r="J8" s="97"/>
      <c r="K8" s="97"/>
      <c r="L8" s="97"/>
      <c r="M8" s="97"/>
      <c r="N8" s="97"/>
    </row>
    <row r="9" spans="1:14" ht="42" customHeight="1" x14ac:dyDescent="0.3">
      <c r="A9" s="97"/>
      <c r="B9" s="396" t="str">
        <f>IF(OR(C6="Commercial",C6="Other"),"N/A",IF(C6="","","17. Number of dwellings proposed within the development site"))</f>
        <v>17. Number of dwellings proposed within the development site</v>
      </c>
      <c r="C9" s="197" t="s">
        <v>1045</v>
      </c>
      <c r="D9" s="550" t="str">
        <f>IF(AND(B9="n/a",C9&lt;&gt;""),"ERROR- Not required ▲",IF(OR(AND(C6="Residential",C9="Over 9 dwellings"),AND(C6="Mixed",C9="Over 9 dwellings")),"ERROR- Number of dwellings too large for metric  - USE MAIN METRIC ▲",IF(AND(B9="17. Number of dwellings proposed within the development site",C9=""),"ERROR - You must specify number of dwellings ▲","")))</f>
        <v/>
      </c>
      <c r="E9" s="97"/>
      <c r="F9" s="97"/>
      <c r="G9" s="97"/>
      <c r="H9" s="97"/>
      <c r="I9" s="97"/>
      <c r="J9" s="97"/>
      <c r="K9" s="97"/>
      <c r="L9" s="97"/>
      <c r="M9" s="97"/>
      <c r="N9" s="97"/>
    </row>
    <row r="10" spans="1:14" ht="36" customHeight="1" x14ac:dyDescent="0.3">
      <c r="A10" s="97"/>
      <c r="B10" s="118" t="s">
        <v>44</v>
      </c>
      <c r="C10" s="551"/>
      <c r="D10" s="552"/>
      <c r="E10" s="97"/>
      <c r="F10" s="97"/>
      <c r="G10" s="97"/>
      <c r="H10" s="97"/>
      <c r="I10" s="97"/>
      <c r="J10" s="97"/>
      <c r="K10" s="97"/>
      <c r="L10" s="97"/>
      <c r="M10" s="97"/>
      <c r="N10" s="97"/>
    </row>
    <row r="11" spans="1:14" ht="42" customHeight="1" x14ac:dyDescent="0.3">
      <c r="A11" s="97"/>
      <c r="B11" s="104" t="s">
        <v>45</v>
      </c>
      <c r="C11" s="195" t="s">
        <v>1046</v>
      </c>
      <c r="D11" s="553" t="str">
        <f>IF(C11="On site","ERROR- Site too complex for metric - USE MAIN METRIC ▲",IF(C11="Within 500m of site boundary","Consider using main metric tool ⚠",""))</f>
        <v>Consider using main metric tool ⚠</v>
      </c>
      <c r="E11" s="97"/>
      <c r="F11" s="97"/>
      <c r="G11" s="97"/>
      <c r="H11" s="97"/>
      <c r="I11" s="97"/>
      <c r="J11" s="97"/>
      <c r="K11" s="97"/>
      <c r="L11" s="97"/>
      <c r="M11" s="97"/>
      <c r="N11" s="97"/>
    </row>
    <row r="12" spans="1:14" ht="42" customHeight="1" x14ac:dyDescent="0.3">
      <c r="A12" s="97"/>
      <c r="B12" s="108" t="s">
        <v>46</v>
      </c>
      <c r="C12" s="196" t="s">
        <v>1046</v>
      </c>
      <c r="D12" s="554" t="str">
        <f>IF(C12="On site","ERROR- Site too complex for metric - USE MAIN METRIC ▲",IF(C12="Within 500m of site boundary","Consider using main metric tool ⚠",""))</f>
        <v>Consider using main metric tool ⚠</v>
      </c>
      <c r="E12" s="97"/>
      <c r="F12" s="97"/>
      <c r="G12" s="97"/>
      <c r="H12" s="97"/>
      <c r="I12" s="97"/>
      <c r="J12" s="97"/>
      <c r="K12" s="97"/>
      <c r="L12" s="97"/>
      <c r="M12" s="97"/>
      <c r="N12" s="97"/>
    </row>
    <row r="13" spans="1:14" ht="79.2" customHeight="1" x14ac:dyDescent="0.3">
      <c r="A13" s="97"/>
      <c r="B13" s="108" t="s">
        <v>47</v>
      </c>
      <c r="C13" s="634" t="s">
        <v>1047</v>
      </c>
      <c r="D13" s="635"/>
      <c r="E13" s="97"/>
      <c r="F13" s="97"/>
      <c r="G13" s="97"/>
      <c r="H13" s="97"/>
      <c r="I13" s="97"/>
      <c r="J13" s="97"/>
      <c r="K13" s="97"/>
      <c r="L13" s="97"/>
      <c r="M13" s="97"/>
      <c r="N13" s="97"/>
    </row>
    <row r="14" spans="1:14" ht="79.2" customHeight="1" x14ac:dyDescent="0.3">
      <c r="A14" s="97"/>
      <c r="B14" s="103" t="s">
        <v>48</v>
      </c>
      <c r="C14" s="624" t="s">
        <v>49</v>
      </c>
      <c r="D14" s="625"/>
      <c r="E14" s="97"/>
      <c r="F14" s="97"/>
      <c r="G14" s="97"/>
      <c r="H14" s="97"/>
      <c r="I14" s="97"/>
      <c r="J14" s="97"/>
      <c r="K14" s="97"/>
      <c r="L14" s="97"/>
      <c r="M14" s="97"/>
      <c r="N14" s="97"/>
    </row>
    <row r="15" spans="1:14" ht="36" customHeight="1" x14ac:dyDescent="0.3">
      <c r="A15" s="97"/>
      <c r="B15" s="118" t="s">
        <v>50</v>
      </c>
      <c r="C15" s="97"/>
      <c r="D15" s="97"/>
      <c r="E15" s="97"/>
      <c r="F15" s="97"/>
      <c r="G15" s="97"/>
      <c r="H15" s="97"/>
      <c r="I15" s="97"/>
      <c r="J15" s="97"/>
      <c r="K15" s="97"/>
      <c r="L15" s="97"/>
      <c r="M15" s="97"/>
      <c r="N15" s="97"/>
    </row>
    <row r="16" spans="1:14" ht="42" customHeight="1" x14ac:dyDescent="0.3">
      <c r="A16" s="97"/>
      <c r="B16" s="104" t="s">
        <v>51</v>
      </c>
      <c r="C16" s="195" t="s">
        <v>1048</v>
      </c>
      <c r="D16" s="555" t="str">
        <f>IF(C16="Walkover completed by competent person","A competent person should be able to confidently identify the habitats onsite",IF(C16="No Walkover Undertaken","ERROR- Site walkover required",""))</f>
        <v>A competent person should be able to confidently identify the habitats onsite</v>
      </c>
      <c r="E16" s="97"/>
      <c r="F16" s="97"/>
      <c r="G16" s="97"/>
      <c r="H16" s="97"/>
      <c r="I16" s="97"/>
      <c r="J16" s="97"/>
      <c r="K16" s="97"/>
      <c r="L16" s="97"/>
      <c r="M16" s="97"/>
      <c r="N16" s="97"/>
    </row>
    <row r="17" spans="1:14" ht="42" customHeight="1" x14ac:dyDescent="0.3">
      <c r="A17" s="97"/>
      <c r="B17" s="108" t="s">
        <v>52</v>
      </c>
      <c r="C17" s="204" t="s">
        <v>1049</v>
      </c>
      <c r="D17" s="556" t="str">
        <f>IF(C17="","Walkover date required ▲","Site walkover data valid until "&amp;TEXT(EDATE(C17,6),"dd/mm/yy"))</f>
        <v>Site walkover data valid until 01/01/25</v>
      </c>
      <c r="E17" s="97"/>
      <c r="F17" s="97"/>
      <c r="G17" s="97"/>
      <c r="H17" s="97"/>
      <c r="I17" s="97"/>
      <c r="J17" s="97"/>
      <c r="K17" s="97"/>
      <c r="L17" s="97"/>
      <c r="M17" s="97"/>
      <c r="N17" s="97"/>
    </row>
    <row r="18" spans="1:14" ht="42" customHeight="1" x14ac:dyDescent="0.3">
      <c r="A18" s="97"/>
      <c r="B18" s="103" t="s">
        <v>53</v>
      </c>
      <c r="C18" s="624" t="s">
        <v>1050</v>
      </c>
      <c r="D18" s="625"/>
      <c r="E18" s="97"/>
      <c r="F18" s="97"/>
      <c r="G18" s="97"/>
      <c r="H18" s="97"/>
      <c r="I18" s="97"/>
      <c r="J18" s="97"/>
      <c r="K18" s="97"/>
      <c r="L18" s="97"/>
      <c r="M18" s="97"/>
      <c r="N18" s="97"/>
    </row>
    <row r="19" spans="1:14" ht="36" customHeight="1" x14ac:dyDescent="0.3">
      <c r="A19" s="97"/>
      <c r="B19" s="118" t="s">
        <v>54</v>
      </c>
      <c r="C19" s="97"/>
      <c r="D19" s="97"/>
      <c r="E19" s="97"/>
      <c r="F19" s="97"/>
      <c r="G19" s="97"/>
      <c r="H19" s="97"/>
      <c r="I19" s="97"/>
      <c r="J19" s="97"/>
      <c r="K19" s="97"/>
      <c r="L19" s="97"/>
      <c r="M19" s="97"/>
      <c r="N19" s="97"/>
    </row>
    <row r="20" spans="1:14" ht="79.2" customHeight="1" x14ac:dyDescent="0.3">
      <c r="A20" s="97"/>
      <c r="B20" s="203" t="s">
        <v>55</v>
      </c>
      <c r="C20" s="626" t="s">
        <v>1051</v>
      </c>
      <c r="D20" s="627"/>
      <c r="E20" s="97"/>
      <c r="F20" s="97"/>
      <c r="G20" s="97"/>
      <c r="H20" s="97"/>
      <c r="I20" s="97"/>
      <c r="J20" s="97"/>
      <c r="K20" s="97"/>
      <c r="L20" s="97"/>
      <c r="M20" s="97"/>
      <c r="N20" s="97"/>
    </row>
    <row r="21" spans="1:14" ht="14.55" customHeight="1" x14ac:dyDescent="0.3">
      <c r="A21" s="97"/>
      <c r="B21" s="97"/>
      <c r="C21" s="97"/>
      <c r="D21" s="97"/>
      <c r="E21" s="97"/>
      <c r="F21" s="97"/>
      <c r="G21" s="97"/>
      <c r="H21" s="97"/>
      <c r="I21" s="97"/>
      <c r="J21" s="97"/>
      <c r="K21" s="97"/>
      <c r="L21" s="97"/>
      <c r="M21" s="97"/>
      <c r="N21" s="97"/>
    </row>
    <row r="22" spans="1:14" ht="14.55" customHeight="1" x14ac:dyDescent="0.3">
      <c r="A22" s="97"/>
      <c r="B22" s="97"/>
      <c r="C22" s="97"/>
      <c r="D22" s="97"/>
      <c r="E22" s="97"/>
      <c r="F22" s="97"/>
      <c r="G22" s="97"/>
      <c r="H22" s="97"/>
      <c r="I22" s="97"/>
      <c r="J22" s="97"/>
      <c r="K22" s="97"/>
      <c r="L22" s="97"/>
      <c r="M22" s="97"/>
      <c r="N22" s="97"/>
    </row>
    <row r="23" spans="1:14" ht="14.55" customHeight="1" x14ac:dyDescent="0.3">
      <c r="A23" s="97"/>
      <c r="B23" s="97"/>
      <c r="C23" s="97"/>
      <c r="D23" s="97"/>
      <c r="E23" s="97"/>
      <c r="F23" s="97"/>
      <c r="G23" s="97"/>
      <c r="H23" s="97"/>
      <c r="I23" s="97"/>
      <c r="J23" s="97"/>
      <c r="K23" s="97"/>
      <c r="L23" s="97"/>
      <c r="M23" s="97"/>
      <c r="N23" s="97"/>
    </row>
    <row r="24" spans="1:14" ht="14.55" customHeight="1" x14ac:dyDescent="0.3">
      <c r="A24" s="97"/>
      <c r="B24" s="97"/>
      <c r="C24" s="97"/>
      <c r="D24" s="97"/>
      <c r="E24" s="97"/>
      <c r="F24" s="97"/>
      <c r="G24" s="97"/>
      <c r="H24" s="97"/>
      <c r="I24" s="97"/>
      <c r="J24" s="97"/>
      <c r="K24" s="97"/>
      <c r="L24" s="97"/>
      <c r="M24" s="97"/>
      <c r="N24" s="97"/>
    </row>
    <row r="25" spans="1:14" ht="14.55" customHeight="1" x14ac:dyDescent="0.3">
      <c r="A25" s="97"/>
      <c r="B25" s="97"/>
      <c r="C25" s="97"/>
      <c r="D25" s="97"/>
      <c r="E25" s="97"/>
      <c r="F25" s="97"/>
      <c r="G25" s="97"/>
      <c r="H25" s="97"/>
      <c r="I25" s="97"/>
      <c r="J25" s="97"/>
      <c r="K25" s="97"/>
      <c r="L25" s="97"/>
      <c r="M25" s="97"/>
      <c r="N25" s="97"/>
    </row>
    <row r="26" spans="1:14" ht="15" hidden="1" customHeight="1" x14ac:dyDescent="0.3">
      <c r="A26" s="97"/>
      <c r="B26" s="97"/>
      <c r="C26" s="97"/>
      <c r="D26" s="97"/>
      <c r="E26" s="97"/>
      <c r="F26" s="97"/>
      <c r="G26" s="97"/>
      <c r="H26" s="97"/>
      <c r="I26" s="97"/>
      <c r="J26" s="97"/>
      <c r="K26" s="97"/>
      <c r="L26" s="97"/>
      <c r="M26" s="97"/>
      <c r="N26" s="97"/>
    </row>
    <row r="27" spans="1:14" ht="15" hidden="1" customHeight="1" x14ac:dyDescent="0.3">
      <c r="A27" s="97"/>
      <c r="B27" s="97"/>
      <c r="C27" s="97"/>
      <c r="D27" s="97"/>
      <c r="E27" s="97"/>
      <c r="F27" s="97"/>
      <c r="G27" s="97"/>
      <c r="H27" s="97"/>
      <c r="I27" s="97"/>
      <c r="J27" s="97"/>
      <c r="K27" s="97"/>
      <c r="L27" s="97"/>
      <c r="M27" s="97"/>
      <c r="N27" s="97"/>
    </row>
    <row r="28" spans="1:14" hidden="1" x14ac:dyDescent="0.3">
      <c r="A28" s="97"/>
      <c r="B28" s="97"/>
      <c r="C28" s="97"/>
      <c r="D28" s="97"/>
      <c r="E28" s="97"/>
      <c r="F28" s="97"/>
      <c r="G28" s="97"/>
      <c r="H28" s="97"/>
      <c r="I28" s="97"/>
      <c r="J28" s="97"/>
      <c r="K28" s="97"/>
      <c r="L28" s="97"/>
      <c r="M28" s="97"/>
      <c r="N28" s="97"/>
    </row>
    <row r="29" spans="1:14" hidden="1" x14ac:dyDescent="0.3">
      <c r="A29" s="97"/>
      <c r="B29" s="97"/>
      <c r="C29" s="97"/>
      <c r="D29" s="97"/>
      <c r="E29" s="97"/>
      <c r="F29" s="97"/>
      <c r="G29" s="97"/>
      <c r="H29" s="97"/>
      <c r="I29" s="97"/>
      <c r="J29" s="97"/>
      <c r="K29" s="97"/>
      <c r="L29" s="97"/>
      <c r="M29" s="97"/>
      <c r="N29" s="97"/>
    </row>
    <row r="30" spans="1:14" hidden="1" x14ac:dyDescent="0.3">
      <c r="A30" s="97"/>
      <c r="B30" s="97"/>
      <c r="C30" s="97"/>
      <c r="D30" s="97"/>
      <c r="E30" s="97"/>
      <c r="F30" s="97"/>
      <c r="G30" s="97"/>
      <c r="H30" s="97"/>
      <c r="I30" s="97"/>
      <c r="J30" s="97"/>
      <c r="K30" s="97"/>
      <c r="L30" s="97"/>
      <c r="M30" s="97"/>
      <c r="N30" s="97"/>
    </row>
    <row r="31" spans="1:14" hidden="1" x14ac:dyDescent="0.3">
      <c r="A31" s="97"/>
      <c r="B31" s="97"/>
      <c r="C31" s="97"/>
      <c r="D31" s="97"/>
      <c r="E31" s="97"/>
      <c r="F31" s="97"/>
      <c r="G31" s="97"/>
      <c r="H31" s="97"/>
    </row>
    <row r="32" spans="1:14" hidden="1" x14ac:dyDescent="0.3">
      <c r="A32" s="97"/>
      <c r="B32" s="97"/>
      <c r="C32" s="97"/>
      <c r="D32" s="97"/>
      <c r="E32" s="97"/>
      <c r="F32" s="97"/>
      <c r="G32" s="97"/>
      <c r="H32" s="97"/>
    </row>
    <row r="33" spans="1:8" hidden="1" x14ac:dyDescent="0.3">
      <c r="A33" s="97"/>
      <c r="B33" s="97"/>
      <c r="C33" s="97"/>
      <c r="D33" s="97"/>
      <c r="E33" s="97"/>
      <c r="F33" s="97"/>
      <c r="G33" s="97"/>
      <c r="H33" s="97"/>
    </row>
    <row r="34" spans="1:8" hidden="1" x14ac:dyDescent="0.3">
      <c r="A34" s="97"/>
      <c r="B34" s="97"/>
      <c r="C34" s="97"/>
      <c r="D34" s="97"/>
      <c r="E34" s="97"/>
      <c r="F34" s="97"/>
      <c r="G34" s="97"/>
      <c r="H34" s="97"/>
    </row>
    <row r="35" spans="1:8" hidden="1" x14ac:dyDescent="0.3">
      <c r="A35" s="97"/>
      <c r="B35" s="97"/>
      <c r="C35" s="97"/>
      <c r="D35" s="97"/>
      <c r="E35" s="97"/>
      <c r="F35" s="97"/>
      <c r="G35" s="97"/>
      <c r="H35" s="97"/>
    </row>
    <row r="36" spans="1:8" hidden="1" x14ac:dyDescent="0.3">
      <c r="A36" s="97"/>
      <c r="B36" s="97"/>
      <c r="C36" s="97"/>
      <c r="D36" s="97"/>
      <c r="E36" s="97"/>
      <c r="F36" s="97"/>
      <c r="G36" s="97"/>
      <c r="H36" s="97"/>
    </row>
    <row r="37" spans="1:8" hidden="1" x14ac:dyDescent="0.3">
      <c r="A37" s="97"/>
      <c r="B37" s="97"/>
      <c r="C37" s="97"/>
      <c r="D37" s="97"/>
      <c r="E37" s="97"/>
      <c r="F37" s="97"/>
      <c r="G37" s="97"/>
      <c r="H37" s="97"/>
    </row>
    <row r="38" spans="1:8" hidden="1" x14ac:dyDescent="0.3">
      <c r="A38" s="97"/>
      <c r="B38" s="97"/>
      <c r="C38" s="97"/>
      <c r="D38" s="97"/>
      <c r="E38" s="97"/>
      <c r="F38" s="97"/>
      <c r="G38" s="97"/>
      <c r="H38" s="97"/>
    </row>
    <row r="39" spans="1:8" hidden="1" x14ac:dyDescent="0.3">
      <c r="A39" s="97"/>
      <c r="B39" s="97"/>
      <c r="C39" s="97"/>
      <c r="D39" s="97"/>
      <c r="E39" s="97"/>
      <c r="F39" s="97"/>
      <c r="G39" s="97"/>
      <c r="H39" s="97"/>
    </row>
  </sheetData>
  <sheetProtection algorithmName="SHA-512" hashValue="C7z4ytCKweFMgndit5Ew9jK/5sUoKMK856bu3va1ydQ28LJOXzFgc0fmb9Bm+zfs+RBDOgnH3J+YKJzufoSvxw==" saltValue="PfqgEqhXd6ECUS42onoFWw==" spinCount="100000" sheet="1" objects="1"/>
  <mergeCells count="7">
    <mergeCell ref="C18:D18"/>
    <mergeCell ref="C20:D20"/>
    <mergeCell ref="C2:D2"/>
    <mergeCell ref="C3:D3"/>
    <mergeCell ref="E6:H6"/>
    <mergeCell ref="C13:D13"/>
    <mergeCell ref="C14:D14"/>
  </mergeCells>
  <conditionalFormatting sqref="C6">
    <cfRule type="expression" dxfId="192" priority="8">
      <formula>IF(C6&lt;&gt;"",TRUE,"")</formula>
    </cfRule>
  </conditionalFormatting>
  <conditionalFormatting sqref="C7">
    <cfRule type="expression" dxfId="191" priority="10">
      <formula>IF(AND(LEFT(D7,1)="E",C7&lt;&gt;""),TRUE,"")</formula>
    </cfRule>
    <cfRule type="expression" dxfId="190" priority="11" stopIfTrue="1">
      <formula>IF(AND(LEFT(D7,1)&lt;&gt;"E",C7&lt;&gt;""),TRUE,"")</formula>
    </cfRule>
  </conditionalFormatting>
  <conditionalFormatting sqref="C8">
    <cfRule type="expression" dxfId="189" priority="9">
      <formula>AND(C8&gt;0,C8&lt;=C7,C8&lt;1001)</formula>
    </cfRule>
  </conditionalFormatting>
  <conditionalFormatting sqref="C8:C9">
    <cfRule type="expression" dxfId="188" priority="5" stopIfTrue="1">
      <formula>IF(LEFT(D8,1)="E","TRUE","")</formula>
    </cfRule>
  </conditionalFormatting>
  <conditionalFormatting sqref="C9">
    <cfRule type="containsText" dxfId="187" priority="2" operator="containsText" text="Unknown">
      <formula>NOT(ISERROR(SEARCH("Unknown",C9)))</formula>
    </cfRule>
    <cfRule type="expression" dxfId="186" priority="6">
      <formula>AND(C9&gt;0,LEFT(D10,1)&lt;&gt;"E")</formula>
    </cfRule>
  </conditionalFormatting>
  <conditionalFormatting sqref="C11:C12">
    <cfRule type="expression" dxfId="185" priority="14">
      <formula>C11="Within 500m of site boundary"</formula>
    </cfRule>
    <cfRule type="expression" dxfId="184" priority="15">
      <formula>C11="On site"</formula>
    </cfRule>
    <cfRule type="expression" dxfId="183" priority="16">
      <formula>C11="No"</formula>
    </cfRule>
  </conditionalFormatting>
  <conditionalFormatting sqref="C16:C17">
    <cfRule type="expression" dxfId="182" priority="17">
      <formula>C16="Walkover completed by competent person"</formula>
    </cfRule>
    <cfRule type="expression" dxfId="181" priority="18">
      <formula>C16="No walkover undertaken"</formula>
    </cfRule>
    <cfRule type="expression" dxfId="180" priority="19">
      <formula>C16="Walkover completed by qualified ecologist"</formula>
    </cfRule>
  </conditionalFormatting>
  <conditionalFormatting sqref="D7">
    <cfRule type="expression" dxfId="179" priority="7">
      <formula>IF(LEFT(D7,1)="E","TRUE","")</formula>
    </cfRule>
  </conditionalFormatting>
  <conditionalFormatting sqref="D8:D9">
    <cfRule type="containsText" dxfId="178" priority="4" operator="containsText" text="ERROR">
      <formula>NOT(ISERROR(SEARCH("ERROR",D8)))</formula>
    </cfRule>
  </conditionalFormatting>
  <conditionalFormatting sqref="D11:D12">
    <cfRule type="containsText" dxfId="177" priority="3" operator="containsText" text="Consider">
      <formula>NOT(ISERROR(SEARCH("Consider",D11)))</formula>
    </cfRule>
    <cfRule type="expression" dxfId="176" priority="21">
      <formula>C11="On site"</formula>
    </cfRule>
  </conditionalFormatting>
  <conditionalFormatting sqref="D16">
    <cfRule type="expression" dxfId="175" priority="13">
      <formula>$C$16="Walkover completed by competent person"</formula>
    </cfRule>
    <cfRule type="expression" dxfId="174" priority="20">
      <formula>C16="No walkover undertaken"</formula>
    </cfRule>
  </conditionalFormatting>
  <conditionalFormatting sqref="D17">
    <cfRule type="containsText" dxfId="173" priority="12" operator="containsText" text="Walkover date required">
      <formula>NOT(ISERROR(SEARCH("Walkover date required",D17)))</formula>
    </cfRule>
  </conditionalFormatting>
  <conditionalFormatting sqref="E6:H6">
    <cfRule type="notContainsBlanks" dxfId="172" priority="1">
      <formula>LEN(TRIM(E6))&gt;0</formula>
    </cfRule>
  </conditionalFormatting>
  <dataValidations count="5">
    <dataValidation type="list" allowBlank="1" showInputMessage="1" showErrorMessage="1" sqref="C6" xr:uid="{00000000-0002-0000-0200-000000000000}">
      <formula1>"Residential,Commercial,Mixed,Other"</formula1>
    </dataValidation>
    <dataValidation type="list" allowBlank="1" showInputMessage="1" showErrorMessage="1" sqref="C11:C12" xr:uid="{00000000-0002-0000-0200-000001000000}">
      <formula1>"On site,Within 500m of site boundary,No"</formula1>
    </dataValidation>
    <dataValidation type="list" allowBlank="1" showInputMessage="1" showErrorMessage="1" sqref="C16" xr:uid="{00000000-0002-0000-0200-000002000000}">
      <formula1>"Walkover completed by qualified ecologist,Walkover completed by competent person,No walkover undertaken"</formula1>
    </dataValidation>
    <dataValidation type="date" operator="lessThanOrEqual" allowBlank="1" showInputMessage="1" showErrorMessage="1" errorTitle="Error" error="Future dates not permited" sqref="C17" xr:uid="{00000000-0002-0000-0200-000003000000}">
      <formula1>TODAY()</formula1>
    </dataValidation>
    <dataValidation type="list" allowBlank="1" showInputMessage="1" showErrorMessage="1" sqref="C9" xr:uid="{00000000-0002-0000-0200-000004000000}">
      <formula1>"Unknown number, Between 1 - 9 dwellings, Over 9 dwellings"</formula1>
    </dataValidation>
  </dataValidations>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761A7-C478-4620-BBDE-F558B68BAD4D}">
  <sheetPr codeName="Sheet9">
    <tabColor theme="0" tint="-0.249977111117893"/>
    <pageSetUpPr fitToPage="1"/>
  </sheetPr>
  <dimension ref="A1:XFB158"/>
  <sheetViews>
    <sheetView showGridLines="0" zoomScale="80" zoomScaleNormal="80" workbookViewId="0">
      <pane xSplit="2" ySplit="7" topLeftCell="C15" activePane="bottomRight" state="frozenSplit"/>
      <selection activeCell="C1" sqref="C1"/>
      <selection pane="topRight"/>
      <selection pane="bottomLeft"/>
      <selection pane="bottomRight" activeCell="D8" sqref="D8"/>
    </sheetView>
  </sheetViews>
  <sheetFormatPr defaultColWidth="8.77734375" defaultRowHeight="14.4" zeroHeight="1" x14ac:dyDescent="0.3"/>
  <cols>
    <col min="1" max="1" width="3.44140625" style="97" customWidth="1"/>
    <col min="2" max="2" width="16.44140625" style="97" bestFit="1" customWidth="1"/>
    <col min="3" max="3" width="32.33203125" style="97" bestFit="1" customWidth="1"/>
    <col min="4" max="5" width="89.77734375" style="97" customWidth="1"/>
    <col min="6" max="7" width="8.77734375" style="97" customWidth="1"/>
    <col min="8" max="16382" width="8.77734375" style="97" hidden="1" customWidth="1"/>
    <col min="16383" max="16384" width="8.77734375" style="97" customWidth="1"/>
  </cols>
  <sheetData>
    <row r="1" spans="2:34" ht="15" customHeight="1" x14ac:dyDescent="0.3"/>
    <row r="2" spans="2:34" ht="24.75" customHeight="1" x14ac:dyDescent="0.35">
      <c r="B2" s="640" t="s">
        <v>39</v>
      </c>
      <c r="C2" s="641"/>
      <c r="D2" s="71" t="str">
        <f>IF('2. Site Details'!D4="","Enter site name on 2. Site Details",'2. Site Details'!D4)</f>
        <v>4788</v>
      </c>
      <c r="E2" s="642" t="str">
        <f>IF(OR('3. Desktop Assessment'!C16="Walkover completed by competent person",'3. Desktop Assessment'!C16="No walkover undertaken"),IF(COUNTA(D8:E8,D10:E10,D14:E14,D16:E16,D18:E18,D22:E22,D26:E26,D30:E30,D34:E34,D38:E38,D42:E42,D46:E46,D12:E12,D20:E20,D24:E24,D28:E28,D32:E32,D36:E36,D40:E40,D44:E44)=0,"Error - Site photographs required to support application",""),"")</f>
        <v/>
      </c>
    </row>
    <row r="3" spans="2:34" ht="24.75" customHeight="1" x14ac:dyDescent="0.35">
      <c r="B3" s="643" t="s">
        <v>16</v>
      </c>
      <c r="C3" s="644"/>
      <c r="D3" s="70" t="s">
        <v>56</v>
      </c>
      <c r="E3" s="642"/>
    </row>
    <row r="4" spans="2:34" ht="24.75" customHeight="1" x14ac:dyDescent="0.3"/>
    <row r="5" spans="2:34" ht="31.2" customHeight="1" x14ac:dyDescent="0.4">
      <c r="B5" s="119" t="s">
        <v>57</v>
      </c>
      <c r="C5" s="121"/>
      <c r="D5" s="645" t="s">
        <v>58</v>
      </c>
      <c r="E5" s="645"/>
    </row>
    <row r="6" spans="2:34" ht="15" customHeight="1" x14ac:dyDescent="0.3"/>
    <row r="7" spans="2:34" ht="30.75" customHeight="1" x14ac:dyDescent="0.3">
      <c r="B7" s="228" t="s">
        <v>59</v>
      </c>
      <c r="C7" s="229" t="s">
        <v>60</v>
      </c>
      <c r="D7" s="229" t="s">
        <v>61</v>
      </c>
      <c r="E7" s="230" t="s">
        <v>62</v>
      </c>
    </row>
    <row r="8" spans="2:34" ht="33" customHeight="1" x14ac:dyDescent="0.3">
      <c r="B8" s="636">
        <v>1</v>
      </c>
      <c r="C8" s="14" t="s">
        <v>63</v>
      </c>
      <c r="D8" s="397" t="s">
        <v>64</v>
      </c>
      <c r="E8" s="398"/>
    </row>
    <row r="9" spans="2:34" ht="303.75" customHeight="1" x14ac:dyDescent="0.3">
      <c r="B9" s="637"/>
      <c r="C9" s="227" t="str">
        <f>IF('5. Area Habitats'!D11=0,"",'5. Area Habitats'!D11)</f>
        <v>Developed land; sealed surface</v>
      </c>
      <c r="D9" s="232"/>
      <c r="E9" s="233"/>
      <c r="K9" s="120"/>
      <c r="L9" s="120"/>
      <c r="M9" s="120"/>
      <c r="N9" s="120"/>
      <c r="O9" s="120"/>
      <c r="P9" s="120"/>
      <c r="Q9" s="120"/>
      <c r="R9" s="120"/>
      <c r="S9" s="120"/>
      <c r="T9" s="120"/>
      <c r="U9" s="120"/>
      <c r="V9" s="120"/>
      <c r="W9" s="120"/>
      <c r="X9" s="120"/>
      <c r="Y9" s="120"/>
      <c r="Z9" s="120"/>
      <c r="AA9" s="120"/>
      <c r="AB9" s="120"/>
      <c r="AC9" s="120"/>
      <c r="AD9" s="120"/>
      <c r="AE9" s="120"/>
      <c r="AF9" s="120"/>
      <c r="AG9" s="120"/>
      <c r="AH9" s="120"/>
    </row>
    <row r="10" spans="2:34" ht="33" customHeight="1" x14ac:dyDescent="0.3">
      <c r="B10" s="636">
        <v>2</v>
      </c>
      <c r="C10" s="14" t="s">
        <v>63</v>
      </c>
      <c r="D10" s="397" t="s">
        <v>64</v>
      </c>
      <c r="E10" s="398"/>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row>
    <row r="11" spans="2:34" ht="303.75" customHeight="1" x14ac:dyDescent="0.3">
      <c r="B11" s="637"/>
      <c r="C11" s="227" t="str">
        <f>IF('5. Area Habitats'!D12=0,"",'5. Area Habitats'!D12)</f>
        <v>Bare ground</v>
      </c>
      <c r="D11" s="232"/>
      <c r="E11" s="233"/>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row>
    <row r="12" spans="2:34" ht="33" customHeight="1" x14ac:dyDescent="0.3">
      <c r="B12" s="636">
        <v>3</v>
      </c>
      <c r="C12" s="14" t="s">
        <v>63</v>
      </c>
      <c r="D12" s="397" t="s">
        <v>64</v>
      </c>
      <c r="E12" s="398"/>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row>
    <row r="13" spans="2:34" ht="303.75" customHeight="1" x14ac:dyDescent="0.3">
      <c r="B13" s="637"/>
      <c r="C13" s="227" t="str">
        <f>IF('5. Area Habitats'!D13=0,"",'5. Area Habitats'!D13)</f>
        <v>Developed land; sealed surface</v>
      </c>
      <c r="D13" s="232"/>
      <c r="E13" s="233"/>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row>
    <row r="14" spans="2:34" ht="33" customHeight="1" x14ac:dyDescent="0.3">
      <c r="B14" s="638">
        <v>4</v>
      </c>
      <c r="C14" s="14" t="s">
        <v>63</v>
      </c>
      <c r="D14" s="399" t="s">
        <v>64</v>
      </c>
      <c r="E14" s="40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row>
    <row r="15" spans="2:34" ht="303.75" customHeight="1" x14ac:dyDescent="0.3">
      <c r="B15" s="639"/>
      <c r="C15" s="231" t="str">
        <f>IF('5. Area Habitats'!D14=0,"",'5. Area Habitats'!D14)</f>
        <v>Developed land; sealed surface</v>
      </c>
      <c r="D15" s="234"/>
      <c r="E15" s="235"/>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row>
    <row r="16" spans="2:34" ht="33" customHeight="1" x14ac:dyDescent="0.3">
      <c r="B16" s="636">
        <v>5</v>
      </c>
      <c r="C16" s="14" t="s">
        <v>63</v>
      </c>
      <c r="D16" s="397" t="s">
        <v>64</v>
      </c>
      <c r="E16" s="398"/>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row>
    <row r="17" spans="2:34" ht="303.75" customHeight="1" x14ac:dyDescent="0.3">
      <c r="B17" s="637"/>
      <c r="C17" s="227" t="str">
        <f>IF('5. Area Habitats'!D15=0,"",'5. Area Habitats'!D15)</f>
        <v>Bare ground</v>
      </c>
      <c r="D17" s="232"/>
      <c r="E17" s="233"/>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row>
    <row r="18" spans="2:34" ht="33" customHeight="1" x14ac:dyDescent="0.3">
      <c r="B18" s="636">
        <v>6</v>
      </c>
      <c r="C18" s="14" t="s">
        <v>63</v>
      </c>
      <c r="D18" s="397" t="s">
        <v>64</v>
      </c>
      <c r="E18" s="398"/>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row>
    <row r="19" spans="2:34" ht="303.75" customHeight="1" x14ac:dyDescent="0.3">
      <c r="B19" s="637"/>
      <c r="C19" s="227" t="str">
        <f>IF('5. Area Habitats'!D16=0,"",'5. Area Habitats'!D16)</f>
        <v>Developed land; sealed surface</v>
      </c>
      <c r="D19" s="232"/>
      <c r="E19" s="233"/>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row>
    <row r="20" spans="2:34" ht="33" customHeight="1" x14ac:dyDescent="0.3">
      <c r="B20" s="636">
        <v>7</v>
      </c>
      <c r="C20" s="14" t="s">
        <v>63</v>
      </c>
      <c r="D20" s="397"/>
      <c r="E20" s="398"/>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row>
    <row r="21" spans="2:34" ht="303.75" customHeight="1" x14ac:dyDescent="0.3">
      <c r="B21" s="637"/>
      <c r="C21" s="227" t="str">
        <f>IF('5. Area Habitats'!D17=0,"",'5. Area Habitats'!D17)</f>
        <v/>
      </c>
      <c r="D21" s="232"/>
      <c r="E21" s="233"/>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row>
    <row r="22" spans="2:34" ht="33" customHeight="1" x14ac:dyDescent="0.3">
      <c r="B22" s="636">
        <v>8</v>
      </c>
      <c r="C22" s="14" t="s">
        <v>63</v>
      </c>
      <c r="D22" s="397"/>
      <c r="E22" s="398"/>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row>
    <row r="23" spans="2:34" ht="303.75" customHeight="1" x14ac:dyDescent="0.3">
      <c r="B23" s="637"/>
      <c r="C23" s="227" t="str">
        <f>IF('5. Area Habitats'!D18=0,"",'5. Area Habitats'!D18)</f>
        <v/>
      </c>
      <c r="D23" s="232"/>
      <c r="E23" s="233"/>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row>
    <row r="24" spans="2:34" ht="33" customHeight="1" x14ac:dyDescent="0.3">
      <c r="B24" s="636">
        <v>9</v>
      </c>
      <c r="C24" s="14" t="s">
        <v>63</v>
      </c>
      <c r="D24" s="397"/>
      <c r="E24" s="398"/>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row>
    <row r="25" spans="2:34" ht="303.75" customHeight="1" x14ac:dyDescent="0.3">
      <c r="B25" s="637"/>
      <c r="C25" s="227" t="str">
        <f>IF('5. Area Habitats'!D19=0,"",'5. Area Habitats'!D19)</f>
        <v/>
      </c>
      <c r="D25" s="232"/>
      <c r="E25" s="233"/>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row>
    <row r="26" spans="2:34" ht="33" customHeight="1" x14ac:dyDescent="0.3">
      <c r="B26" s="636">
        <v>10</v>
      </c>
      <c r="C26" s="14" t="s">
        <v>63</v>
      </c>
      <c r="D26" s="397"/>
      <c r="E26" s="398"/>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row>
    <row r="27" spans="2:34" ht="303.75" customHeight="1" x14ac:dyDescent="0.3">
      <c r="B27" s="637"/>
      <c r="C27" s="227" t="str">
        <f>IF('5. Area Habitats'!D20=0,"",'5. Area Habitats'!D20)</f>
        <v/>
      </c>
      <c r="D27" s="232"/>
      <c r="E27" s="233"/>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row>
    <row r="28" spans="2:34" ht="33" customHeight="1" x14ac:dyDescent="0.3">
      <c r="B28" s="636">
        <v>11</v>
      </c>
      <c r="C28" s="14" t="s">
        <v>63</v>
      </c>
      <c r="D28" s="397"/>
      <c r="E28" s="398"/>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row>
    <row r="29" spans="2:34" ht="303.75" customHeight="1" x14ac:dyDescent="0.3">
      <c r="B29" s="637"/>
      <c r="C29" s="227" t="str">
        <f>IF('5. Area Habitats'!D21=0,"",'5. Area Habitats'!D21)</f>
        <v/>
      </c>
      <c r="D29" s="232"/>
      <c r="E29" s="233"/>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row>
    <row r="30" spans="2:34" ht="33" customHeight="1" x14ac:dyDescent="0.3">
      <c r="B30" s="636">
        <v>12</v>
      </c>
      <c r="C30" s="14" t="s">
        <v>63</v>
      </c>
      <c r="D30" s="397"/>
      <c r="E30" s="398"/>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row>
    <row r="31" spans="2:34" ht="303.75" customHeight="1" x14ac:dyDescent="0.3">
      <c r="B31" s="637"/>
      <c r="C31" s="227" t="str">
        <f>IF('5. Area Habitats'!D22=0,"",'5. Area Habitats'!D22)</f>
        <v/>
      </c>
      <c r="D31" s="232"/>
      <c r="E31" s="233"/>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row>
    <row r="32" spans="2:34" ht="33" customHeight="1" x14ac:dyDescent="0.3">
      <c r="B32" s="636">
        <v>13</v>
      </c>
      <c r="C32" s="14" t="s">
        <v>63</v>
      </c>
      <c r="D32" s="397"/>
      <c r="E32" s="398"/>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row>
    <row r="33" spans="2:34" ht="303.75" customHeight="1" x14ac:dyDescent="0.3">
      <c r="B33" s="637"/>
      <c r="C33" s="227" t="str">
        <f>IF('5. Area Habitats'!D23=0,"",'5. Area Habitats'!D23)</f>
        <v/>
      </c>
      <c r="D33" s="232"/>
      <c r="E33" s="233"/>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row>
    <row r="34" spans="2:34" ht="33" customHeight="1" x14ac:dyDescent="0.3">
      <c r="B34" s="636">
        <v>14</v>
      </c>
      <c r="C34" s="14" t="s">
        <v>63</v>
      </c>
      <c r="D34" s="397"/>
      <c r="E34" s="398"/>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row>
    <row r="35" spans="2:34" ht="303.75" customHeight="1" x14ac:dyDescent="0.3">
      <c r="B35" s="637"/>
      <c r="C35" s="227" t="str">
        <f>IF('5. Area Habitats'!D24=0,"",'5. Area Habitats'!D24)</f>
        <v/>
      </c>
      <c r="D35" s="232"/>
      <c r="E35" s="233"/>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row>
    <row r="36" spans="2:34" ht="33" customHeight="1" x14ac:dyDescent="0.3">
      <c r="B36" s="636">
        <v>15</v>
      </c>
      <c r="C36" s="14" t="s">
        <v>63</v>
      </c>
      <c r="D36" s="397"/>
      <c r="E36" s="398"/>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row>
    <row r="37" spans="2:34" ht="303.75" customHeight="1" x14ac:dyDescent="0.3">
      <c r="B37" s="637"/>
      <c r="C37" s="227" t="str">
        <f>IF('5. Area Habitats'!D25=0,"",'5. Area Habitats'!D25)</f>
        <v/>
      </c>
      <c r="D37" s="232"/>
      <c r="E37" s="233"/>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row>
    <row r="38" spans="2:34" ht="33" customHeight="1" x14ac:dyDescent="0.3">
      <c r="B38" s="636">
        <v>16</v>
      </c>
      <c r="C38" s="14" t="s">
        <v>63</v>
      </c>
      <c r="D38" s="397"/>
      <c r="E38" s="398"/>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row>
    <row r="39" spans="2:34" ht="303.75" customHeight="1" x14ac:dyDescent="0.3">
      <c r="B39" s="637"/>
      <c r="C39" s="227" t="str">
        <f>IF('5. Area Habitats'!D26=0,"",'5. Area Habitats'!D26)</f>
        <v/>
      </c>
      <c r="D39" s="232"/>
      <c r="E39" s="233"/>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row>
    <row r="40" spans="2:34" ht="33" customHeight="1" x14ac:dyDescent="0.3">
      <c r="B40" s="636">
        <v>17</v>
      </c>
      <c r="C40" s="14" t="s">
        <v>63</v>
      </c>
      <c r="D40" s="397"/>
      <c r="E40" s="398"/>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row>
    <row r="41" spans="2:34" ht="303.75" customHeight="1" x14ac:dyDescent="0.3">
      <c r="B41" s="637"/>
      <c r="C41" s="227" t="str">
        <f>IF('5. Area Habitats'!D27=0,"",'5. Area Habitats'!D27)</f>
        <v/>
      </c>
      <c r="D41" s="232"/>
      <c r="E41" s="233"/>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row>
    <row r="42" spans="2:34" ht="33" customHeight="1" x14ac:dyDescent="0.3">
      <c r="B42" s="636">
        <v>18</v>
      </c>
      <c r="C42" s="14" t="s">
        <v>63</v>
      </c>
      <c r="D42" s="397"/>
      <c r="E42" s="398"/>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row>
    <row r="43" spans="2:34" ht="303.75" customHeight="1" x14ac:dyDescent="0.3">
      <c r="B43" s="637"/>
      <c r="C43" s="227" t="str">
        <f>IF('5. Area Habitats'!D28=0,"",'5. Area Habitats'!D28)</f>
        <v/>
      </c>
      <c r="D43" s="232"/>
      <c r="E43" s="233"/>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row>
    <row r="44" spans="2:34" ht="33" customHeight="1" x14ac:dyDescent="0.3">
      <c r="B44" s="636">
        <v>19</v>
      </c>
      <c r="C44" s="14" t="s">
        <v>63</v>
      </c>
      <c r="D44" s="397"/>
      <c r="E44" s="398"/>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row>
    <row r="45" spans="2:34" ht="303.75" customHeight="1" x14ac:dyDescent="0.3">
      <c r="B45" s="637"/>
      <c r="C45" s="227" t="str">
        <f>IF('5. Area Habitats'!D29=0,"",'5. Area Habitats'!D29)</f>
        <v/>
      </c>
      <c r="D45" s="232"/>
      <c r="E45" s="233"/>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row>
    <row r="46" spans="2:34" ht="33" customHeight="1" x14ac:dyDescent="0.3">
      <c r="B46" s="636">
        <v>20</v>
      </c>
      <c r="C46" s="14" t="s">
        <v>63</v>
      </c>
      <c r="D46" s="397"/>
      <c r="E46" s="398"/>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row>
    <row r="47" spans="2:34" ht="303.75" customHeight="1" x14ac:dyDescent="0.3">
      <c r="B47" s="637"/>
      <c r="C47" s="227" t="str">
        <f>IF('5. Area Habitats'!D30=0,"",'5. Area Habitats'!D30)</f>
        <v/>
      </c>
      <c r="D47" s="232"/>
      <c r="E47" s="233"/>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row>
    <row r="48" spans="2:34" x14ac:dyDescent="0.3">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row>
    <row r="49" spans="11:34" x14ac:dyDescent="0.3">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row>
    <row r="50" spans="11:34" x14ac:dyDescent="0.3">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row>
    <row r="51" spans="11:34" x14ac:dyDescent="0.3">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row>
    <row r="52" spans="11:34" hidden="1" x14ac:dyDescent="0.3">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row>
    <row r="53" spans="11:34" hidden="1" x14ac:dyDescent="0.3">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row>
    <row r="54" spans="11:34" hidden="1" x14ac:dyDescent="0.3">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row>
    <row r="55" spans="11:34" hidden="1" x14ac:dyDescent="0.3">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row>
    <row r="56" spans="11:34" hidden="1" x14ac:dyDescent="0.3">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row>
    <row r="57" spans="11:34" hidden="1" x14ac:dyDescent="0.3">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row>
    <row r="58" spans="11:34" hidden="1" x14ac:dyDescent="0.3">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row>
    <row r="59" spans="11:34" hidden="1" x14ac:dyDescent="0.3">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row>
    <row r="60" spans="11:34" hidden="1" x14ac:dyDescent="0.3">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row>
    <row r="61" spans="11:34" hidden="1" x14ac:dyDescent="0.3">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row>
    <row r="62" spans="11:34" hidden="1" x14ac:dyDescent="0.3">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row>
    <row r="63" spans="11:34" hidden="1" x14ac:dyDescent="0.3">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row>
    <row r="64" spans="11:34" hidden="1" x14ac:dyDescent="0.3">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row>
    <row r="65" spans="2:34" hidden="1" x14ac:dyDescent="0.3">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row>
    <row r="66" spans="2:34" hidden="1" x14ac:dyDescent="0.3">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row>
    <row r="67" spans="2:34" hidden="1" x14ac:dyDescent="0.3">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row>
    <row r="68" spans="2:34" hidden="1" x14ac:dyDescent="0.3">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row>
    <row r="69" spans="2:34" hidden="1" x14ac:dyDescent="0.3">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row>
    <row r="70" spans="2:34" hidden="1" x14ac:dyDescent="0.3">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row>
    <row r="71" spans="2:34" hidden="1" x14ac:dyDescent="0.3">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row>
    <row r="72" spans="2:34" hidden="1" x14ac:dyDescent="0.3">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row>
    <row r="73" spans="2:34" hidden="1" x14ac:dyDescent="0.3">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row>
    <row r="74" spans="2:34" hidden="1" x14ac:dyDescent="0.3">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row>
    <row r="75" spans="2:34" hidden="1" x14ac:dyDescent="0.3">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row>
    <row r="76" spans="2:34" hidden="1" x14ac:dyDescent="0.3">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row>
    <row r="77" spans="2:34" hidden="1" x14ac:dyDescent="0.3">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row>
    <row r="78" spans="2:34" hidden="1" x14ac:dyDescent="0.3">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row>
    <row r="79" spans="2:34" hidden="1" x14ac:dyDescent="0.3">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row>
    <row r="80" spans="2:34" hidden="1" x14ac:dyDescent="0.3">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row>
    <row r="81" spans="1:34" hidden="1" x14ac:dyDescent="0.3">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row>
    <row r="82" spans="1:34" hidden="1" x14ac:dyDescent="0.3">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row>
    <row r="83" spans="1:34" hidden="1" x14ac:dyDescent="0.3">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row>
    <row r="84" spans="1:34" hidden="1" x14ac:dyDescent="0.3">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row>
    <row r="85" spans="1:34" hidden="1" x14ac:dyDescent="0.3">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row>
    <row r="86" spans="1:34" hidden="1" x14ac:dyDescent="0.3">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row>
    <row r="87" spans="1:34" hidden="1" x14ac:dyDescent="0.3">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row>
    <row r="88" spans="1:34" hidden="1" x14ac:dyDescent="0.3">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row>
    <row r="89" spans="1:34" hidden="1" x14ac:dyDescent="0.3">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row>
    <row r="90" spans="1:34" hidden="1" x14ac:dyDescent="0.3">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row>
    <row r="91" spans="1:34" hidden="1" x14ac:dyDescent="0.3">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row>
    <row r="92" spans="1:34" hidden="1" x14ac:dyDescent="0.3">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row>
    <row r="93" spans="1:34" hidden="1" x14ac:dyDescent="0.3">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row>
    <row r="94" spans="1:34" hidden="1" x14ac:dyDescent="0.3">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row>
    <row r="95" spans="1:34" hidden="1" x14ac:dyDescent="0.3">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row>
    <row r="96" spans="1:34" hidden="1" x14ac:dyDescent="0.3">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row>
    <row r="97" spans="1:34" hidden="1" x14ac:dyDescent="0.3">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row>
    <row r="98" spans="1:34" hidden="1" x14ac:dyDescent="0.3">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row>
    <row r="99" spans="1:34" hidden="1" x14ac:dyDescent="0.3">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row>
    <row r="100" spans="1:34" hidden="1" x14ac:dyDescent="0.3">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row>
    <row r="101" spans="1:34" hidden="1" x14ac:dyDescent="0.3">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row>
    <row r="102" spans="1:34" hidden="1" x14ac:dyDescent="0.3">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row>
    <row r="103" spans="1:34" hidden="1" x14ac:dyDescent="0.3">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row>
    <row r="104" spans="1:34" hidden="1" x14ac:dyDescent="0.3">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row>
    <row r="105" spans="1:34" hidden="1" x14ac:dyDescent="0.3">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row>
    <row r="106" spans="1:34" hidden="1" x14ac:dyDescent="0.3">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row>
    <row r="107" spans="1:34" hidden="1" x14ac:dyDescent="0.3">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row>
    <row r="108" spans="1:34" hidden="1" x14ac:dyDescent="0.3">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row>
    <row r="109" spans="1:34" hidden="1" x14ac:dyDescent="0.3">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row>
    <row r="110" spans="1:34" hidden="1" x14ac:dyDescent="0.3">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row>
    <row r="111" spans="1:34" hidden="1" x14ac:dyDescent="0.3">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row>
    <row r="112" spans="1:34" hidden="1" x14ac:dyDescent="0.3">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row>
    <row r="113" spans="1:34" hidden="1" x14ac:dyDescent="0.3">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row>
    <row r="114" spans="1:34" hidden="1" x14ac:dyDescent="0.3">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row>
    <row r="115" spans="1:34" hidden="1" x14ac:dyDescent="0.3">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row>
    <row r="116" spans="1:34" hidden="1" x14ac:dyDescent="0.3">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row>
    <row r="117" spans="1:34" hidden="1" x14ac:dyDescent="0.3">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row>
    <row r="118" spans="1:34" hidden="1" x14ac:dyDescent="0.3">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row>
    <row r="119" spans="1:34" hidden="1" x14ac:dyDescent="0.3">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row>
    <row r="120" spans="1:34" hidden="1" x14ac:dyDescent="0.3">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row>
    <row r="121" spans="1:34" hidden="1" x14ac:dyDescent="0.3">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row>
    <row r="122" spans="1:34" hidden="1" x14ac:dyDescent="0.3">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row>
    <row r="123" spans="1:34" hidden="1" x14ac:dyDescent="0.3">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row>
    <row r="124" spans="1:34" hidden="1" x14ac:dyDescent="0.3">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row>
    <row r="125" spans="1:34" hidden="1" x14ac:dyDescent="0.3">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row>
    <row r="126" spans="1:34" hidden="1" x14ac:dyDescent="0.3">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row>
    <row r="127" spans="1:34" hidden="1" x14ac:dyDescent="0.3">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row>
    <row r="128" spans="1:34" hidden="1" x14ac:dyDescent="0.3">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row>
    <row r="129" spans="1:34" hidden="1" x14ac:dyDescent="0.3">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row>
    <row r="130" spans="1:34" hidden="1" x14ac:dyDescent="0.3">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row>
    <row r="131" spans="1:34" hidden="1" x14ac:dyDescent="0.3">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row>
    <row r="132" spans="1:34" hidden="1" x14ac:dyDescent="0.3">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row>
    <row r="133" spans="1:34" hidden="1" x14ac:dyDescent="0.3">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row>
    <row r="134" spans="1:34" hidden="1" x14ac:dyDescent="0.3">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row>
    <row r="135" spans="1:34" hidden="1" x14ac:dyDescent="0.3">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row>
    <row r="136" spans="1:34" hidden="1" x14ac:dyDescent="0.3">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row>
    <row r="137" spans="1:34" hidden="1" x14ac:dyDescent="0.3">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row>
    <row r="138" spans="1:34" hidden="1" x14ac:dyDescent="0.3">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row>
    <row r="139" spans="1:34" hidden="1" x14ac:dyDescent="0.3">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row>
    <row r="140" spans="1:34" hidden="1" x14ac:dyDescent="0.3">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row>
    <row r="141" spans="1:34" hidden="1" x14ac:dyDescent="0.3">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row>
    <row r="142" spans="1:34" hidden="1" x14ac:dyDescent="0.3">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row>
    <row r="143" spans="1:34" hidden="1" x14ac:dyDescent="0.3">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row>
    <row r="144" spans="1:34" hidden="1" x14ac:dyDescent="0.3">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row>
    <row r="145" spans="1:34" hidden="1" x14ac:dyDescent="0.3">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row>
    <row r="146" spans="1:34" hidden="1" x14ac:dyDescent="0.3">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row>
    <row r="147" spans="1:34" hidden="1" x14ac:dyDescent="0.3">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row>
    <row r="148" spans="1:34" hidden="1" x14ac:dyDescent="0.3">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row>
    <row r="149" spans="1:34" hidden="1" x14ac:dyDescent="0.3">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row>
    <row r="150" spans="1:34" hidden="1" x14ac:dyDescent="0.3">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row>
    <row r="151" spans="1:34" hidden="1" x14ac:dyDescent="0.3">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row>
    <row r="152" spans="1:34" hidden="1" x14ac:dyDescent="0.3">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row>
    <row r="153" spans="1:34" hidden="1" x14ac:dyDescent="0.3">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row>
    <row r="154" spans="1:34" hidden="1" x14ac:dyDescent="0.3">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row>
    <row r="155" spans="1:34" hidden="1" x14ac:dyDescent="0.3">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row>
    <row r="156" spans="1:34" hidden="1" x14ac:dyDescent="0.3">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row>
    <row r="157" spans="1:34" hidden="1" x14ac:dyDescent="0.3">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row>
    <row r="158" spans="1:34" hidden="1" x14ac:dyDescent="0.3">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row>
  </sheetData>
  <sheetProtection algorithmName="SHA-512" hashValue="3tukFxCG1LY07uWIwhWdfk70NtBlkauiWU7yyF0kzZGshmLCOAtIgMDFiEXMug39DxX56GuzTuJ/Vc/jyBZC8g==" saltValue="z0bbt7f7H3L+Ih/Bi7Ib3A==" spinCount="100000" sheet="1"/>
  <mergeCells count="24">
    <mergeCell ref="B2:C2"/>
    <mergeCell ref="E2:E3"/>
    <mergeCell ref="B3:C3"/>
    <mergeCell ref="D5:E5"/>
    <mergeCell ref="B8:B9"/>
    <mergeCell ref="B10:B11"/>
    <mergeCell ref="B12:B13"/>
    <mergeCell ref="B14:B15"/>
    <mergeCell ref="B16:B17"/>
    <mergeCell ref="B18:B19"/>
    <mergeCell ref="B20:B21"/>
    <mergeCell ref="B22:B23"/>
    <mergeCell ref="B24:B25"/>
    <mergeCell ref="B26:B27"/>
    <mergeCell ref="B28:B29"/>
    <mergeCell ref="B40:B41"/>
    <mergeCell ref="B42:B43"/>
    <mergeCell ref="B44:B45"/>
    <mergeCell ref="B46:B47"/>
    <mergeCell ref="B30:B31"/>
    <mergeCell ref="B32:B33"/>
    <mergeCell ref="B34:B35"/>
    <mergeCell ref="B36:B37"/>
    <mergeCell ref="B38:B39"/>
  </mergeCells>
  <conditionalFormatting sqref="E2:E3">
    <cfRule type="containsText" dxfId="171" priority="1" operator="containsText" text="Error">
      <formula>NOT(ISERROR(SEARCH("Error",E2)))</formula>
    </cfRule>
  </conditionalFormatting>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F9F63-0519-4470-A745-59052BAC7261}">
  <sheetPr codeName="Sheet1">
    <tabColor rgb="FF006600"/>
    <pageSetUpPr fitToPage="1"/>
  </sheetPr>
  <dimension ref="A1:XEY169"/>
  <sheetViews>
    <sheetView topLeftCell="C1" zoomScale="80" zoomScaleNormal="80" workbookViewId="0">
      <selection activeCell="I12" sqref="I12"/>
    </sheetView>
  </sheetViews>
  <sheetFormatPr defaultColWidth="8.6640625" defaultRowHeight="14.4" zeroHeight="1" x14ac:dyDescent="0.3"/>
  <cols>
    <col min="1" max="1" width="4.44140625" customWidth="1"/>
    <col min="2" max="2" width="14.77734375" customWidth="1"/>
    <col min="3" max="3" width="26.44140625" bestFit="1" customWidth="1"/>
    <col min="4" max="4" width="62.6640625" customWidth="1"/>
    <col min="5" max="5" width="22" customWidth="1"/>
    <col min="6" max="6" width="18.44140625" customWidth="1"/>
    <col min="7" max="7" width="39.6640625" customWidth="1"/>
    <col min="8" max="8" width="62.44140625" customWidth="1"/>
    <col min="9" max="9" width="14.44140625" customWidth="1"/>
    <col min="10" max="10" width="12.6640625" customWidth="1"/>
    <col min="11" max="11" width="11.44140625" customWidth="1"/>
    <col min="12" max="12" width="17.77734375" customWidth="1"/>
    <col min="13" max="14" width="11.44140625" customWidth="1"/>
    <col min="15" max="16" width="27" customWidth="1"/>
    <col min="17" max="18" width="11.44140625" customWidth="1"/>
    <col min="19" max="19" width="2.33203125" customWidth="1"/>
    <col min="20" max="20" width="13" customWidth="1"/>
    <col min="21" max="21" width="14.77734375" customWidth="1"/>
    <col min="22" max="22" width="20.6640625" bestFit="1" customWidth="1"/>
    <col min="23" max="23" width="23.6640625" customWidth="1"/>
    <col min="24" max="24" width="16.77734375" bestFit="1" customWidth="1"/>
    <col min="25" max="25" width="14" hidden="1" customWidth="1"/>
    <col min="26" max="26" width="21.33203125" hidden="1" customWidth="1"/>
    <col min="27" max="27" width="14" hidden="1" customWidth="1"/>
    <col min="28" max="28" width="33.6640625" customWidth="1"/>
    <col min="29" max="29" width="26.44140625" customWidth="1"/>
    <col min="30" max="30" width="50" customWidth="1"/>
    <col min="31" max="31" width="18.6640625" customWidth="1"/>
    <col min="32" max="32" width="23.6640625" customWidth="1"/>
    <col min="33" max="33" width="16.6640625" customWidth="1"/>
    <col min="34" max="34" width="35.6640625" customWidth="1"/>
    <col min="35" max="35" width="76.33203125" customWidth="1"/>
    <col min="36" max="36" width="22.33203125" customWidth="1"/>
    <col min="37" max="39" width="22.33203125" hidden="1" customWidth="1"/>
    <col min="40" max="40" width="20.44140625" customWidth="1"/>
    <col min="41" max="41" width="34.109375" bestFit="1" customWidth="1"/>
    <col min="42" max="42" width="19.6640625" bestFit="1" customWidth="1"/>
    <col min="43" max="43" width="16.33203125" bestFit="1" customWidth="1"/>
    <col min="44" max="47" width="27.33203125" customWidth="1"/>
    <col min="48" max="48" width="21.109375" bestFit="1" customWidth="1"/>
    <col min="49" max="49" width="23.33203125" bestFit="1" customWidth="1"/>
    <col min="50" max="50" width="68.33203125" customWidth="1"/>
    <col min="51" max="51" width="26.44140625" customWidth="1"/>
    <col min="52" max="52" width="14.33203125" customWidth="1"/>
    <col min="53" max="53" width="26.44140625" customWidth="1"/>
    <col min="54" max="73" width="26.109375" customWidth="1"/>
    <col min="74" max="74" width="11.44140625" customWidth="1"/>
    <col min="75" max="77" width="8.77734375" customWidth="1"/>
    <col min="78" max="16379" width="8.77734375" hidden="1" customWidth="1"/>
    <col min="16380" max="16383" width="8.77734375" customWidth="1"/>
  </cols>
  <sheetData>
    <row r="1" spans="1:128" ht="15.75" customHeight="1" x14ac:dyDescent="0.3">
      <c r="A1" s="97"/>
      <c r="B1" s="97"/>
      <c r="C1" s="97"/>
      <c r="D1" s="97"/>
      <c r="E1" s="97"/>
      <c r="F1" s="97"/>
      <c r="G1" s="97"/>
      <c r="H1" s="97"/>
      <c r="I1" s="114"/>
      <c r="J1" s="114"/>
      <c r="K1" s="114"/>
      <c r="L1" s="114"/>
      <c r="M1" s="114"/>
      <c r="N1" s="114"/>
      <c r="O1" s="69" t="s">
        <v>65</v>
      </c>
      <c r="P1" s="299">
        <f>IFERROR(SUM(AE11:AE31), "Error ▲")</f>
        <v>0</v>
      </c>
      <c r="Q1" s="97"/>
      <c r="R1" s="649" t="s">
        <v>66</v>
      </c>
      <c r="S1" s="97"/>
      <c r="T1" s="98"/>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row>
    <row r="2" spans="1:128" ht="19.95" customHeight="1" x14ac:dyDescent="0.35">
      <c r="A2" s="97"/>
      <c r="B2" s="139" t="s">
        <v>67</v>
      </c>
      <c r="C2" s="827" t="str">
        <f>IF('2. Site Details'!D4="","Enter site name on 2. Site Details",'2. Site Details'!D4)</f>
        <v>4788</v>
      </c>
      <c r="D2" s="828"/>
      <c r="E2" s="97"/>
      <c r="F2" s="829" t="s">
        <v>68</v>
      </c>
      <c r="G2" s="830"/>
      <c r="H2" s="831"/>
      <c r="I2" s="140"/>
      <c r="J2" s="838" t="str" cm="1">
        <f t="array" ref="J2">IFERROR(IF(OR((ISNUMBER(SEARCH("▲",A7:Q101)))),"Input Errors Present On Sheet - Red Cells Or ▲ Highlight Errors","All Key Rules Satisfied ✓ "),"Technical Errors On Sheet ▲")</f>
        <v xml:space="preserve">All Key Rules Satisfied ✓ </v>
      </c>
      <c r="K2" s="838"/>
      <c r="L2" s="838"/>
      <c r="M2" s="838"/>
      <c r="N2" s="140"/>
      <c r="O2" s="142" t="s">
        <v>69</v>
      </c>
      <c r="P2" s="299">
        <f>IFERROR(N32, "Error ▲")</f>
        <v>2.9237599999999996E-3</v>
      </c>
      <c r="Q2" s="97"/>
      <c r="R2" s="649"/>
      <c r="S2" s="97"/>
      <c r="T2" s="98"/>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row>
    <row r="3" spans="1:128" ht="19.95" customHeight="1" x14ac:dyDescent="0.35">
      <c r="A3" s="97"/>
      <c r="B3" s="141" t="s">
        <v>16</v>
      </c>
      <c r="C3" s="839" t="s">
        <v>70</v>
      </c>
      <c r="D3" s="840"/>
      <c r="E3" s="97"/>
      <c r="F3" s="832"/>
      <c r="G3" s="833"/>
      <c r="H3" s="834"/>
      <c r="I3" s="140"/>
      <c r="J3" s="838"/>
      <c r="K3" s="838"/>
      <c r="L3" s="838"/>
      <c r="M3" s="838"/>
      <c r="N3" s="140"/>
      <c r="O3" s="142" t="s">
        <v>71</v>
      </c>
      <c r="P3" s="299">
        <f>IFERROR(L61, "Error ▲")</f>
        <v>0</v>
      </c>
      <c r="Q3" s="97"/>
      <c r="R3" s="649"/>
      <c r="S3" s="97"/>
      <c r="T3" s="98"/>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row>
    <row r="4" spans="1:128" ht="19.95" customHeight="1" x14ac:dyDescent="0.3">
      <c r="A4" s="97"/>
      <c r="B4" s="143"/>
      <c r="C4" s="143"/>
      <c r="D4" s="143"/>
      <c r="E4" s="97"/>
      <c r="F4" s="832"/>
      <c r="G4" s="833"/>
      <c r="H4" s="834"/>
      <c r="I4" s="140"/>
      <c r="J4" s="838"/>
      <c r="K4" s="838"/>
      <c r="L4" s="838"/>
      <c r="M4" s="838"/>
      <c r="N4" s="140"/>
      <c r="O4" s="142" t="s">
        <v>72</v>
      </c>
      <c r="P4" s="299">
        <f>IFERROR(L89, "Error ▲")</f>
        <v>0</v>
      </c>
      <c r="Q4" s="97"/>
      <c r="R4" s="649"/>
      <c r="S4" s="97"/>
      <c r="T4" s="98"/>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row>
    <row r="5" spans="1:128" ht="19.95" customHeight="1" x14ac:dyDescent="0.3">
      <c r="A5" s="12"/>
      <c r="B5" s="97"/>
      <c r="C5" s="97"/>
      <c r="D5" s="97"/>
      <c r="E5" s="97"/>
      <c r="F5" s="832"/>
      <c r="G5" s="833"/>
      <c r="H5" s="834"/>
      <c r="I5" s="140"/>
      <c r="J5" s="838"/>
      <c r="K5" s="838"/>
      <c r="L5" s="838"/>
      <c r="M5" s="838"/>
      <c r="N5" s="140"/>
      <c r="O5" s="144" t="s">
        <v>73</v>
      </c>
      <c r="P5" s="300">
        <f>IFERROR((P1+L61+L89)-L32, "Error ▲")</f>
        <v>-2.9237599999999996E-3</v>
      </c>
      <c r="Q5" s="97"/>
      <c r="R5" s="649"/>
      <c r="S5" s="97"/>
      <c r="T5" s="98"/>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row>
    <row r="6" spans="1:128" ht="13.2" customHeight="1" x14ac:dyDescent="0.3">
      <c r="A6" s="12"/>
      <c r="B6" s="97"/>
      <c r="C6" s="97"/>
      <c r="D6" s="97"/>
      <c r="E6" s="97"/>
      <c r="F6" s="835"/>
      <c r="G6" s="836"/>
      <c r="H6" s="837"/>
      <c r="I6" s="114"/>
      <c r="J6" s="114"/>
      <c r="K6" s="114"/>
      <c r="L6" s="114"/>
      <c r="M6" s="114"/>
      <c r="N6" s="114"/>
      <c r="O6" s="145"/>
      <c r="P6" s="145"/>
      <c r="Q6" s="97"/>
      <c r="R6" s="649"/>
      <c r="S6" s="97"/>
      <c r="T6" s="98"/>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row>
    <row r="7" spans="1:128" ht="19.2" customHeight="1" x14ac:dyDescent="0.4">
      <c r="A7" s="97"/>
      <c r="B7" s="119" t="s">
        <v>74</v>
      </c>
      <c r="C7" s="97"/>
      <c r="D7" s="146"/>
      <c r="E7" s="97"/>
      <c r="F7" s="97"/>
      <c r="G7" s="97"/>
      <c r="H7" s="98"/>
      <c r="I7" s="97"/>
      <c r="J7" s="97"/>
      <c r="K7" s="98"/>
      <c r="L7" s="102"/>
      <c r="M7" s="102"/>
      <c r="N7" s="102"/>
      <c r="O7" s="97"/>
      <c r="P7" s="97"/>
      <c r="Q7" s="97"/>
      <c r="R7" s="649"/>
      <c r="S7" s="97"/>
      <c r="T7" s="98"/>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row>
    <row r="8" spans="1:128" ht="10.95" customHeight="1" x14ac:dyDescent="0.3">
      <c r="A8" s="147"/>
      <c r="B8" s="97"/>
      <c r="C8" s="97"/>
      <c r="D8" s="97"/>
      <c r="E8" s="97"/>
      <c r="F8" s="97"/>
      <c r="G8" s="97"/>
      <c r="H8" s="97"/>
      <c r="I8" s="97"/>
      <c r="J8" s="97"/>
      <c r="K8" s="97"/>
      <c r="L8" s="97"/>
      <c r="M8" s="97"/>
      <c r="N8" s="97"/>
      <c r="O8" s="97"/>
      <c r="P8" s="97"/>
      <c r="Q8" s="97"/>
      <c r="R8" s="649"/>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row>
    <row r="9" spans="1:128" ht="29.55" customHeight="1" x14ac:dyDescent="0.3">
      <c r="A9" s="147"/>
      <c r="B9" s="804" t="s">
        <v>59</v>
      </c>
      <c r="C9" s="765" t="s">
        <v>75</v>
      </c>
      <c r="D9" s="766"/>
      <c r="E9" s="767"/>
      <c r="F9" s="715" t="s">
        <v>76</v>
      </c>
      <c r="G9" s="807"/>
      <c r="H9" s="716"/>
      <c r="I9" s="765" t="s">
        <v>77</v>
      </c>
      <c r="J9" s="766"/>
      <c r="K9" s="767"/>
      <c r="L9" s="845" t="s">
        <v>78</v>
      </c>
      <c r="M9" s="846"/>
      <c r="N9" s="847"/>
      <c r="O9" s="845" t="s">
        <v>79</v>
      </c>
      <c r="P9" s="847"/>
      <c r="Q9" s="97"/>
      <c r="R9" s="649"/>
      <c r="S9" s="97"/>
      <c r="T9" s="763" t="s">
        <v>80</v>
      </c>
      <c r="U9" s="773"/>
      <c r="V9" s="764"/>
      <c r="W9" s="796" t="s">
        <v>81</v>
      </c>
      <c r="X9" s="764"/>
      <c r="Y9" s="797"/>
      <c r="Z9" s="797"/>
      <c r="AA9" s="797"/>
      <c r="AB9" s="763" t="s">
        <v>82</v>
      </c>
      <c r="AC9" s="773"/>
      <c r="AD9" s="764"/>
      <c r="AE9" s="763" t="s">
        <v>83</v>
      </c>
      <c r="AF9" s="773"/>
      <c r="AG9" s="764"/>
      <c r="AH9" s="822" t="s">
        <v>84</v>
      </c>
      <c r="AI9" s="777" t="s">
        <v>85</v>
      </c>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row>
    <row r="10" spans="1:128" ht="31.8" customHeight="1" x14ac:dyDescent="0.3">
      <c r="A10" s="147"/>
      <c r="B10" s="728"/>
      <c r="C10" s="144" t="s">
        <v>86</v>
      </c>
      <c r="D10" s="825" t="s">
        <v>87</v>
      </c>
      <c r="E10" s="826"/>
      <c r="F10" s="717"/>
      <c r="G10" s="808"/>
      <c r="H10" s="718"/>
      <c r="I10" s="144" t="s">
        <v>88</v>
      </c>
      <c r="J10" s="54" t="s">
        <v>89</v>
      </c>
      <c r="K10" s="42" t="s">
        <v>90</v>
      </c>
      <c r="L10" s="144" t="s">
        <v>91</v>
      </c>
      <c r="M10" s="54" t="s">
        <v>92</v>
      </c>
      <c r="N10" s="42" t="s">
        <v>93</v>
      </c>
      <c r="O10" s="144" t="s">
        <v>94</v>
      </c>
      <c r="P10" s="42" t="s">
        <v>95</v>
      </c>
      <c r="Q10" s="97"/>
      <c r="R10" s="649"/>
      <c r="S10" s="97"/>
      <c r="T10" s="798" t="s">
        <v>96</v>
      </c>
      <c r="U10" s="799"/>
      <c r="V10" s="43" t="s">
        <v>97</v>
      </c>
      <c r="W10" s="8" t="s">
        <v>98</v>
      </c>
      <c r="X10" s="43" t="s">
        <v>97</v>
      </c>
      <c r="Y10" s="66"/>
      <c r="Z10" s="66"/>
      <c r="AA10" s="66"/>
      <c r="AB10" s="65" t="s">
        <v>82</v>
      </c>
      <c r="AC10" s="64" t="s">
        <v>82</v>
      </c>
      <c r="AD10" s="43" t="s">
        <v>99</v>
      </c>
      <c r="AE10" s="65" t="s">
        <v>100</v>
      </c>
      <c r="AF10" s="64" t="s">
        <v>101</v>
      </c>
      <c r="AG10" s="43" t="s">
        <v>102</v>
      </c>
      <c r="AH10" s="823"/>
      <c r="AI10" s="824"/>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row>
    <row r="11" spans="1:128" ht="15.45" customHeight="1" x14ac:dyDescent="0.3">
      <c r="A11" s="147"/>
      <c r="B11" s="285">
        <v>1</v>
      </c>
      <c r="C11" s="282" t="s">
        <v>223</v>
      </c>
      <c r="D11" s="752" t="s">
        <v>348</v>
      </c>
      <c r="E11" s="753"/>
      <c r="F11" s="813" t="s">
        <v>126</v>
      </c>
      <c r="G11" s="814"/>
      <c r="H11" s="815"/>
      <c r="I11" s="319">
        <v>7.51E-2</v>
      </c>
      <c r="J11" s="337">
        <v>0</v>
      </c>
      <c r="K11" s="321">
        <v>0</v>
      </c>
      <c r="L11" s="406">
        <f t="shared" ref="L11:L30" si="0">IF(C11="","",IFERROR(IF(I11="","",((I11/10000)*V11*X11)*AD11),"Error ▲"))</f>
        <v>0</v>
      </c>
      <c r="M11" s="406">
        <f t="shared" ref="M11:M30" si="1">IF(I11="","",IF(J11+K11&gt;I11,"Area Error ▲",I11-J11-K11))</f>
        <v>7.51E-2</v>
      </c>
      <c r="N11" s="407">
        <f t="shared" ref="N11:N30" si="2">IFERROR(IF(I11="","",IF(M11="Area Error ▲","Area Error ▲",((M11/10000)*V11*X11)*AD11)),"This intervention is not permitted within the SSM ▲")</f>
        <v>0</v>
      </c>
      <c r="O11" s="129"/>
      <c r="P11" s="79"/>
      <c r="Q11" s="97"/>
      <c r="R11" s="649"/>
      <c r="S11" s="97"/>
      <c r="T11" s="785" t="str">
        <f>IF(C11="","",VLOOKUP(D11,'9. All Habitats + Multipliers'!$C$4:$K$102,5,FALSE))</f>
        <v>V.Low</v>
      </c>
      <c r="U11" s="786"/>
      <c r="V11" s="148">
        <f>IF(T11="","",VLOOKUP(T11,'11. Lists'!$B$47:$D$49,2,FALSE))</f>
        <v>0</v>
      </c>
      <c r="W11" s="225" t="str">
        <f>IF(C11="","",VLOOKUP(D11,'10. Condition and Temporal'!$B$6:$C$103,2,FALSE))</f>
        <v>N/A - Other</v>
      </c>
      <c r="X11" s="148">
        <f>IF(W11="","",VLOOKUP(W11,'11. Lists'!$F$47:$G$51,2,FALSE))</f>
        <v>0</v>
      </c>
      <c r="Y11" s="111"/>
      <c r="Z11" s="111"/>
      <c r="AA11" s="111"/>
      <c r="AB11" s="61" t="str">
        <f t="shared" ref="AB11:AB31" si="3">IF(F11="","",F11)</f>
        <v>Area/compensation not in local strategy/ no local strategy</v>
      </c>
      <c r="AC11" s="60" t="str">
        <f>IF(AB11="","",VLOOKUP(AB11,'11. Lists'!$F$36:$H$38,2,FALSE))</f>
        <v>Low Strategic Significance</v>
      </c>
      <c r="AD11" s="148">
        <f>IF(AB11="","",VLOOKUP(AB11,'11. Lists'!$F$36:$H$38,3,FALSE))</f>
        <v>1</v>
      </c>
      <c r="AE11" s="312">
        <f t="shared" ref="AE11:AE30" si="4">IF(D11="","",((J11/10000)*V11*X11)*AD11)</f>
        <v>0</v>
      </c>
      <c r="AF11" s="313">
        <f t="shared" ref="AF11:AF30" si="5">IF(D11="","",((K11/10000)*V11*X11)*AD11)</f>
        <v>0</v>
      </c>
      <c r="AG11" s="149">
        <f t="shared" ref="AG11:AG31" si="6">IF(D11="","",M11)</f>
        <v>7.51E-2</v>
      </c>
      <c r="AH11" s="503" t="str">
        <f>IF(T11="","",VLOOKUP(T11,'11. Lists'!$B$47:$D$49,3,FALSE))</f>
        <v>Compensation Not Required</v>
      </c>
      <c r="AI11" s="535" t="str">
        <f>IF(D11="","",VLOOKUP(D11,'10. Condition and Temporal'!$B$6:$L$103,4,FALSE))</f>
        <v>Enhancement not possible</v>
      </c>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row>
    <row r="12" spans="1:128" ht="15.45" customHeight="1" x14ac:dyDescent="0.3">
      <c r="A12" s="97"/>
      <c r="B12" s="286">
        <v>2</v>
      </c>
      <c r="C12" s="282" t="s">
        <v>223</v>
      </c>
      <c r="D12" s="811" t="s">
        <v>361</v>
      </c>
      <c r="E12" s="812"/>
      <c r="F12" s="813" t="s">
        <v>126</v>
      </c>
      <c r="G12" s="814"/>
      <c r="H12" s="815"/>
      <c r="I12" s="319">
        <v>1.6957</v>
      </c>
      <c r="J12" s="320">
        <v>0</v>
      </c>
      <c r="K12" s="321">
        <v>0</v>
      </c>
      <c r="L12" s="315">
        <f t="shared" si="0"/>
        <v>6.7827999999999996E-4</v>
      </c>
      <c r="M12" s="315">
        <f t="shared" si="1"/>
        <v>1.6957</v>
      </c>
      <c r="N12" s="360">
        <f t="shared" si="2"/>
        <v>6.7827999999999996E-4</v>
      </c>
      <c r="O12" s="130"/>
      <c r="P12" s="77"/>
      <c r="Q12" s="97"/>
      <c r="R12" s="649"/>
      <c r="S12" s="97"/>
      <c r="T12" s="785" t="str">
        <f>IF(C12="","",VLOOKUP(D12,'9. All Habitats + Multipliers'!$C$4:$K$102,5,FALSE))</f>
        <v>Low</v>
      </c>
      <c r="U12" s="786"/>
      <c r="V12" s="148">
        <f>IF(T12="","",VLOOKUP(T12,'11. Lists'!$B$47:$D$49,2,FALSE))</f>
        <v>2</v>
      </c>
      <c r="W12" s="225" t="str">
        <f>IF(C12="","",VLOOKUP(D12,'10. Condition and Temporal'!$B$6:$C$103,2,FALSE))</f>
        <v>Moderate</v>
      </c>
      <c r="X12" s="148">
        <f>IF(W12="","",VLOOKUP(W12,'11. Lists'!$F$47:$G$51,2,FALSE))</f>
        <v>2</v>
      </c>
      <c r="Y12" s="111"/>
      <c r="Z12" s="111"/>
      <c r="AA12" s="111"/>
      <c r="AB12" s="61" t="str">
        <f t="shared" si="3"/>
        <v>Area/compensation not in local strategy/ no local strategy</v>
      </c>
      <c r="AC12" s="60" t="str">
        <f>IF(AB12="","",VLOOKUP(AB12,'11. Lists'!$F$36:$H$38,2,FALSE))</f>
        <v>Low Strategic Significance</v>
      </c>
      <c r="AD12" s="148">
        <f>IF(AB12="","",VLOOKUP(AB12,'11. Lists'!$F$36:$H$38,3,FALSE))</f>
        <v>1</v>
      </c>
      <c r="AE12" s="312">
        <f t="shared" si="4"/>
        <v>0</v>
      </c>
      <c r="AF12" s="313">
        <f t="shared" si="5"/>
        <v>0</v>
      </c>
      <c r="AG12" s="149">
        <f t="shared" si="6"/>
        <v>1.6957</v>
      </c>
      <c r="AH12" s="503" t="str">
        <f>IF(T12="","",VLOOKUP(T12,'11. Lists'!$B$47:$D$49,3,FALSE))</f>
        <v>Same distinctiveness or better habitat required</v>
      </c>
      <c r="AI12" s="535" t="str">
        <f>IF(D12="","",VLOOKUP(D12,'10. Condition and Temporal'!$B$6:$L$103,4,FALSE))</f>
        <v>Bare ground</v>
      </c>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row>
    <row r="13" spans="1:128" ht="15.45" customHeight="1" x14ac:dyDescent="0.3">
      <c r="A13" s="97"/>
      <c r="B13" s="286">
        <v>3</v>
      </c>
      <c r="C13" s="282" t="s">
        <v>223</v>
      </c>
      <c r="D13" s="811" t="s">
        <v>348</v>
      </c>
      <c r="E13" s="812"/>
      <c r="F13" s="813" t="s">
        <v>126</v>
      </c>
      <c r="G13" s="814"/>
      <c r="H13" s="815"/>
      <c r="I13" s="319">
        <v>16.8675</v>
      </c>
      <c r="J13" s="320">
        <v>0</v>
      </c>
      <c r="K13" s="321">
        <v>0</v>
      </c>
      <c r="L13" s="315">
        <f t="shared" si="0"/>
        <v>0</v>
      </c>
      <c r="M13" s="315">
        <f t="shared" si="1"/>
        <v>16.8675</v>
      </c>
      <c r="N13" s="360">
        <f t="shared" si="2"/>
        <v>0</v>
      </c>
      <c r="O13" s="130"/>
      <c r="P13" s="77"/>
      <c r="Q13" s="97"/>
      <c r="R13" s="649"/>
      <c r="S13" s="97"/>
      <c r="T13" s="785" t="str">
        <f>IF(C13="","",VLOOKUP(D13,'9. All Habitats + Multipliers'!$C$4:$K$102,5,FALSE))</f>
        <v>V.Low</v>
      </c>
      <c r="U13" s="786"/>
      <c r="V13" s="148">
        <f>IF(T13="","",VLOOKUP(T13,'11. Lists'!$B$47:$D$49,2,FALSE))</f>
        <v>0</v>
      </c>
      <c r="W13" s="225" t="str">
        <f>IF(C13="","",VLOOKUP(D13,'10. Condition and Temporal'!$B$6:$C$103,2,FALSE))</f>
        <v>N/A - Other</v>
      </c>
      <c r="X13" s="148">
        <f>IF(W13="","",VLOOKUP(W13,'11. Lists'!$F$47:$G$51,2,FALSE))</f>
        <v>0</v>
      </c>
      <c r="Y13" s="111"/>
      <c r="Z13" s="111"/>
      <c r="AA13" s="111"/>
      <c r="AB13" s="61" t="str">
        <f t="shared" si="3"/>
        <v>Area/compensation not in local strategy/ no local strategy</v>
      </c>
      <c r="AC13" s="60" t="str">
        <f>IF(AB13="","",VLOOKUP(AB13,'11. Lists'!$F$36:$H$38,2,FALSE))</f>
        <v>Low Strategic Significance</v>
      </c>
      <c r="AD13" s="148">
        <f>IF(AB13="","",VLOOKUP(AB13,'11. Lists'!$F$36:$H$38,3,FALSE))</f>
        <v>1</v>
      </c>
      <c r="AE13" s="312">
        <f t="shared" si="4"/>
        <v>0</v>
      </c>
      <c r="AF13" s="313">
        <f t="shared" si="5"/>
        <v>0</v>
      </c>
      <c r="AG13" s="149">
        <f t="shared" si="6"/>
        <v>16.8675</v>
      </c>
      <c r="AH13" s="503" t="str">
        <f>IF(T13="","",VLOOKUP(T13,'11. Lists'!$B$47:$D$49,3,FALSE))</f>
        <v>Compensation Not Required</v>
      </c>
      <c r="AI13" s="535" t="str">
        <f>IF(D13="","",VLOOKUP(D13,'10. Condition and Temporal'!$B$6:$L$103,4,FALSE))</f>
        <v>Enhancement not possible</v>
      </c>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7"/>
      <c r="BK13" s="97"/>
      <c r="BL13" s="97"/>
      <c r="BM13" s="97"/>
      <c r="BN13" s="97"/>
      <c r="BO13" s="97"/>
      <c r="BP13" s="97"/>
      <c r="BQ13" s="97"/>
      <c r="BR13" s="97"/>
      <c r="BS13" s="97"/>
      <c r="BT13" s="97"/>
      <c r="BU13" s="97"/>
      <c r="BV13" s="97"/>
      <c r="BW13" s="97"/>
      <c r="BX13" s="97"/>
      <c r="BY13" s="97"/>
      <c r="BZ13" s="97"/>
      <c r="CA13" s="97"/>
      <c r="CB13" s="97"/>
      <c r="CC13" s="97"/>
      <c r="CD13" s="97"/>
      <c r="CE13" s="97"/>
      <c r="CF13" s="97"/>
      <c r="CG13" s="97"/>
      <c r="CH13" s="97"/>
      <c r="CI13" s="97"/>
      <c r="CJ13" s="97"/>
      <c r="CK13" s="97"/>
      <c r="CL13" s="97"/>
      <c r="CM13" s="97"/>
      <c r="CN13" s="97"/>
      <c r="CO13" s="97"/>
      <c r="CP13" s="97"/>
      <c r="CQ13" s="97"/>
      <c r="CR13" s="97"/>
      <c r="CS13" s="97"/>
      <c r="CT13" s="97"/>
      <c r="CU13" s="97"/>
      <c r="CV13" s="97"/>
      <c r="CW13" s="97"/>
      <c r="CX13" s="97"/>
      <c r="CY13" s="97"/>
      <c r="CZ13" s="97"/>
      <c r="DA13" s="97"/>
      <c r="DB13" s="97"/>
      <c r="DC13" s="97"/>
      <c r="DD13" s="97"/>
      <c r="DE13" s="97"/>
      <c r="DF13" s="97"/>
      <c r="DG13" s="97"/>
      <c r="DH13" s="97"/>
      <c r="DI13" s="97"/>
      <c r="DJ13" s="97"/>
      <c r="DK13" s="97"/>
      <c r="DL13" s="97"/>
      <c r="DM13" s="97"/>
      <c r="DN13" s="97"/>
      <c r="DO13" s="97"/>
      <c r="DP13" s="97"/>
      <c r="DQ13" s="97"/>
      <c r="DR13" s="97"/>
      <c r="DS13" s="97"/>
      <c r="DT13" s="97"/>
      <c r="DU13" s="97"/>
      <c r="DV13" s="97"/>
      <c r="DW13" s="97"/>
      <c r="DX13" s="97"/>
    </row>
    <row r="14" spans="1:128" ht="15.45" customHeight="1" x14ac:dyDescent="0.3">
      <c r="A14" s="97"/>
      <c r="B14" s="286">
        <v>4</v>
      </c>
      <c r="C14" s="282" t="s">
        <v>223</v>
      </c>
      <c r="D14" s="752" t="s">
        <v>348</v>
      </c>
      <c r="E14" s="753"/>
      <c r="F14" s="813" t="s">
        <v>126</v>
      </c>
      <c r="G14" s="814"/>
      <c r="H14" s="815"/>
      <c r="I14" s="319">
        <v>13.1401</v>
      </c>
      <c r="J14" s="320">
        <v>0</v>
      </c>
      <c r="K14" s="321">
        <v>0</v>
      </c>
      <c r="L14" s="315">
        <f t="shared" si="0"/>
        <v>0</v>
      </c>
      <c r="M14" s="315">
        <f t="shared" si="1"/>
        <v>13.1401</v>
      </c>
      <c r="N14" s="360">
        <f t="shared" si="2"/>
        <v>0</v>
      </c>
      <c r="O14" s="130"/>
      <c r="P14" s="77"/>
      <c r="Q14" s="97"/>
      <c r="R14" s="649"/>
      <c r="S14" s="97"/>
      <c r="T14" s="785" t="str">
        <f>IF(C14="","",VLOOKUP(D14,'9. All Habitats + Multipliers'!$C$4:$K$102,5,FALSE))</f>
        <v>V.Low</v>
      </c>
      <c r="U14" s="786"/>
      <c r="V14" s="148">
        <f>IF(T14="","",VLOOKUP(T14,'11. Lists'!$B$47:$D$49,2,FALSE))</f>
        <v>0</v>
      </c>
      <c r="W14" s="225" t="str">
        <f>IF(C14="","",VLOOKUP(D14,'10. Condition and Temporal'!$B$6:$C$103,2,FALSE))</f>
        <v>N/A - Other</v>
      </c>
      <c r="X14" s="148">
        <f>IF(W14="","",VLOOKUP(W14,'11. Lists'!$F$47:$G$51,2,FALSE))</f>
        <v>0</v>
      </c>
      <c r="Y14" s="111"/>
      <c r="Z14" s="111"/>
      <c r="AA14" s="111"/>
      <c r="AB14" s="61" t="str">
        <f t="shared" si="3"/>
        <v>Area/compensation not in local strategy/ no local strategy</v>
      </c>
      <c r="AC14" s="60" t="str">
        <f>IF(AB14="","",VLOOKUP(AB14,'11. Lists'!$F$36:$H$38,2,FALSE))</f>
        <v>Low Strategic Significance</v>
      </c>
      <c r="AD14" s="148">
        <f>IF(AB14="","",VLOOKUP(AB14,'11. Lists'!$F$36:$H$38,3,FALSE))</f>
        <v>1</v>
      </c>
      <c r="AE14" s="312">
        <f t="shared" si="4"/>
        <v>0</v>
      </c>
      <c r="AF14" s="313">
        <f t="shared" si="5"/>
        <v>0</v>
      </c>
      <c r="AG14" s="149">
        <f t="shared" si="6"/>
        <v>13.1401</v>
      </c>
      <c r="AH14" s="503" t="str">
        <f>IF(T14="","",VLOOKUP(T14,'11. Lists'!$B$47:$D$49,3,FALSE))</f>
        <v>Compensation Not Required</v>
      </c>
      <c r="AI14" s="535" t="str">
        <f>IF(D14="","",VLOOKUP(D14,'10. Condition and Temporal'!$B$6:$L$103,4,FALSE))</f>
        <v>Enhancement not possible</v>
      </c>
      <c r="AJ14" s="97"/>
      <c r="AK14" s="97"/>
      <c r="AL14" s="97"/>
      <c r="AM14" s="97"/>
      <c r="AN14" s="97"/>
      <c r="AO14" s="97"/>
      <c r="AP14" s="97"/>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c r="BS14" s="97"/>
      <c r="BT14" s="97"/>
      <c r="BU14" s="97"/>
      <c r="BV14" s="97"/>
      <c r="BW14" s="97"/>
      <c r="BX14" s="97"/>
      <c r="BY14" s="97"/>
      <c r="BZ14" s="97"/>
      <c r="CA14" s="97"/>
      <c r="CB14" s="97"/>
      <c r="CC14" s="97"/>
      <c r="CD14" s="97"/>
      <c r="CE14" s="97"/>
      <c r="CF14" s="97"/>
      <c r="CG14" s="97"/>
      <c r="CH14" s="97"/>
      <c r="CI14" s="97"/>
      <c r="CJ14" s="97"/>
      <c r="CK14" s="97"/>
      <c r="CL14" s="97"/>
      <c r="CM14" s="97"/>
      <c r="CN14" s="97"/>
      <c r="CO14" s="97"/>
      <c r="CP14" s="97"/>
      <c r="CQ14" s="97"/>
      <c r="CR14" s="97"/>
      <c r="CS14" s="97"/>
      <c r="CT14" s="97"/>
      <c r="CU14" s="97"/>
      <c r="CV14" s="97"/>
      <c r="CW14" s="97"/>
      <c r="CX14" s="97"/>
      <c r="CY14" s="97"/>
      <c r="CZ14" s="97"/>
      <c r="DA14" s="97"/>
      <c r="DB14" s="97"/>
      <c r="DC14" s="97"/>
      <c r="DD14" s="97"/>
      <c r="DE14" s="97"/>
      <c r="DF14" s="97"/>
      <c r="DG14" s="97"/>
      <c r="DH14" s="97"/>
      <c r="DI14" s="97"/>
      <c r="DJ14" s="97"/>
      <c r="DK14" s="97"/>
      <c r="DL14" s="97"/>
      <c r="DM14" s="97"/>
      <c r="DN14" s="97"/>
      <c r="DO14" s="97"/>
      <c r="DP14" s="97"/>
      <c r="DQ14" s="97"/>
      <c r="DR14" s="97"/>
      <c r="DS14" s="97"/>
      <c r="DT14" s="97"/>
      <c r="DU14" s="97"/>
      <c r="DV14" s="97"/>
      <c r="DW14" s="97"/>
      <c r="DX14" s="97"/>
    </row>
    <row r="15" spans="1:128" ht="15.45" customHeight="1" x14ac:dyDescent="0.3">
      <c r="A15" s="97"/>
      <c r="B15" s="286">
        <v>5</v>
      </c>
      <c r="C15" s="282" t="s">
        <v>223</v>
      </c>
      <c r="D15" s="811" t="s">
        <v>361</v>
      </c>
      <c r="E15" s="812"/>
      <c r="F15" s="813" t="s">
        <v>126</v>
      </c>
      <c r="G15" s="814"/>
      <c r="H15" s="815"/>
      <c r="I15" s="319">
        <v>5.6136999999999997</v>
      </c>
      <c r="J15" s="320">
        <v>0</v>
      </c>
      <c r="K15" s="321">
        <v>0</v>
      </c>
      <c r="L15" s="315">
        <f t="shared" si="0"/>
        <v>2.2454799999999998E-3</v>
      </c>
      <c r="M15" s="315">
        <f t="shared" si="1"/>
        <v>5.6136999999999997</v>
      </c>
      <c r="N15" s="360">
        <f t="shared" si="2"/>
        <v>2.2454799999999998E-3</v>
      </c>
      <c r="O15" s="130"/>
      <c r="P15" s="77"/>
      <c r="Q15" s="97"/>
      <c r="R15" s="649"/>
      <c r="S15" s="97"/>
      <c r="T15" s="785" t="str">
        <f>IF(C15="","",VLOOKUP(D15,'9. All Habitats + Multipliers'!$C$4:$K$102,5,FALSE))</f>
        <v>Low</v>
      </c>
      <c r="U15" s="786"/>
      <c r="V15" s="148">
        <f>IF(T15="","",VLOOKUP(T15,'11. Lists'!$B$47:$D$49,2,FALSE))</f>
        <v>2</v>
      </c>
      <c r="W15" s="225" t="str">
        <f>IF(C15="","",VLOOKUP(D15,'10. Condition and Temporal'!$B$6:$C$103,2,FALSE))</f>
        <v>Moderate</v>
      </c>
      <c r="X15" s="148">
        <f>IF(W15="","",VLOOKUP(W15,'11. Lists'!$F$47:$G$51,2,FALSE))</f>
        <v>2</v>
      </c>
      <c r="Y15" s="111"/>
      <c r="Z15" s="111"/>
      <c r="AA15" s="111"/>
      <c r="AB15" s="61" t="str">
        <f t="shared" si="3"/>
        <v>Area/compensation not in local strategy/ no local strategy</v>
      </c>
      <c r="AC15" s="60" t="str">
        <f>IF(AB15="","",VLOOKUP(AB15,'11. Lists'!$F$36:$H$38,2,FALSE))</f>
        <v>Low Strategic Significance</v>
      </c>
      <c r="AD15" s="148">
        <f>IF(AB15="","",VLOOKUP(AB15,'11. Lists'!$F$36:$H$38,3,FALSE))</f>
        <v>1</v>
      </c>
      <c r="AE15" s="312">
        <f t="shared" si="4"/>
        <v>0</v>
      </c>
      <c r="AF15" s="313">
        <f t="shared" si="5"/>
        <v>0</v>
      </c>
      <c r="AG15" s="149">
        <f t="shared" si="6"/>
        <v>5.6136999999999997</v>
      </c>
      <c r="AH15" s="503" t="str">
        <f>IF(T15="","",VLOOKUP(T15,'11. Lists'!$B$47:$D$49,3,FALSE))</f>
        <v>Same distinctiveness or better habitat required</v>
      </c>
      <c r="AI15" s="535" t="str">
        <f>IF(D15="","",VLOOKUP(D15,'10. Condition and Temporal'!$B$6:$L$103,4,FALSE))</f>
        <v>Bare ground</v>
      </c>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c r="DE15" s="97"/>
      <c r="DF15" s="97"/>
      <c r="DG15" s="97"/>
      <c r="DH15" s="97"/>
      <c r="DI15" s="97"/>
      <c r="DJ15" s="97"/>
      <c r="DK15" s="97"/>
      <c r="DL15" s="97"/>
      <c r="DM15" s="97"/>
      <c r="DN15" s="97"/>
      <c r="DO15" s="97"/>
      <c r="DP15" s="97"/>
      <c r="DQ15" s="97"/>
      <c r="DR15" s="97"/>
      <c r="DS15" s="97"/>
      <c r="DT15" s="97"/>
      <c r="DU15" s="97"/>
      <c r="DV15" s="97"/>
      <c r="DW15" s="97"/>
      <c r="DX15" s="97"/>
    </row>
    <row r="16" spans="1:128" ht="15.45" customHeight="1" x14ac:dyDescent="0.3">
      <c r="A16" s="97"/>
      <c r="B16" s="286">
        <v>6</v>
      </c>
      <c r="C16" s="282" t="s">
        <v>223</v>
      </c>
      <c r="D16" s="811" t="s">
        <v>348</v>
      </c>
      <c r="E16" s="812"/>
      <c r="F16" s="813" t="s">
        <v>126</v>
      </c>
      <c r="G16" s="814"/>
      <c r="H16" s="815"/>
      <c r="I16" s="319">
        <v>144.0179</v>
      </c>
      <c r="J16" s="320">
        <v>0</v>
      </c>
      <c r="K16" s="321">
        <v>0</v>
      </c>
      <c r="L16" s="315">
        <f t="shared" si="0"/>
        <v>0</v>
      </c>
      <c r="M16" s="315">
        <f t="shared" si="1"/>
        <v>144.0179</v>
      </c>
      <c r="N16" s="360">
        <f t="shared" si="2"/>
        <v>0</v>
      </c>
      <c r="O16" s="130"/>
      <c r="P16" s="77"/>
      <c r="Q16" s="97"/>
      <c r="R16" s="649"/>
      <c r="S16" s="97"/>
      <c r="T16" s="785" t="str">
        <f>IF(C16="","",VLOOKUP(D16,'9. All Habitats + Multipliers'!$C$4:$K$102,5,FALSE))</f>
        <v>V.Low</v>
      </c>
      <c r="U16" s="786"/>
      <c r="V16" s="148">
        <f>IF(T16="","",VLOOKUP(T16,'11. Lists'!$B$47:$D$49,2,FALSE))</f>
        <v>0</v>
      </c>
      <c r="W16" s="225" t="str">
        <f>IF(C16="","",VLOOKUP(D16,'10. Condition and Temporal'!$B$6:$C$103,2,FALSE))</f>
        <v>N/A - Other</v>
      </c>
      <c r="X16" s="148">
        <f>IF(W16="","",VLOOKUP(W16,'11. Lists'!$F$47:$G$51,2,FALSE))</f>
        <v>0</v>
      </c>
      <c r="Y16" s="111"/>
      <c r="Z16" s="111"/>
      <c r="AA16" s="111"/>
      <c r="AB16" s="61" t="str">
        <f t="shared" si="3"/>
        <v>Area/compensation not in local strategy/ no local strategy</v>
      </c>
      <c r="AC16" s="60" t="str">
        <f>IF(AB16="","",VLOOKUP(AB16,'11. Lists'!$F$36:$H$38,2,FALSE))</f>
        <v>Low Strategic Significance</v>
      </c>
      <c r="AD16" s="148">
        <f>IF(AB16="","",VLOOKUP(AB16,'11. Lists'!$F$36:$H$38,3,FALSE))</f>
        <v>1</v>
      </c>
      <c r="AE16" s="312">
        <f t="shared" si="4"/>
        <v>0</v>
      </c>
      <c r="AF16" s="313">
        <f t="shared" si="5"/>
        <v>0</v>
      </c>
      <c r="AG16" s="149">
        <f t="shared" si="6"/>
        <v>144.0179</v>
      </c>
      <c r="AH16" s="503" t="str">
        <f>IF(T16="","",VLOOKUP(T16,'11. Lists'!$B$47:$D$49,3,FALSE))</f>
        <v>Compensation Not Required</v>
      </c>
      <c r="AI16" s="535" t="str">
        <f>IF(D16="","",VLOOKUP(D16,'10. Condition and Temporal'!$B$6:$L$103,4,FALSE))</f>
        <v>Enhancement not possible</v>
      </c>
      <c r="AJ16" s="97"/>
      <c r="AK16" s="97"/>
      <c r="AL16" s="97"/>
      <c r="AM16" s="97"/>
      <c r="AN16" s="97"/>
      <c r="AO16" s="97"/>
      <c r="AP16" s="97"/>
      <c r="AQ16" s="97"/>
      <c r="AR16" s="97"/>
      <c r="AS16" s="97"/>
      <c r="AT16" s="97"/>
      <c r="AU16" s="97"/>
      <c r="AV16" s="97"/>
      <c r="AW16" s="97"/>
      <c r="AX16" s="97"/>
      <c r="AY16" s="97"/>
      <c r="AZ16" s="97"/>
      <c r="BA16" s="97"/>
      <c r="BB16" s="97"/>
      <c r="BC16" s="97"/>
      <c r="BD16" s="97"/>
      <c r="BE16" s="97"/>
      <c r="BF16" s="97"/>
      <c r="BG16" s="97"/>
      <c r="BH16" s="97"/>
      <c r="BI16" s="97"/>
      <c r="BJ16" s="97"/>
      <c r="BK16" s="97"/>
      <c r="BL16" s="97"/>
      <c r="BM16" s="97"/>
      <c r="BN16" s="97"/>
      <c r="BO16" s="97"/>
      <c r="BP16" s="97"/>
      <c r="BQ16" s="97"/>
      <c r="BR16" s="97"/>
      <c r="BS16" s="97"/>
      <c r="BT16" s="97"/>
      <c r="BU16" s="97"/>
      <c r="BV16" s="97"/>
      <c r="BW16" s="97"/>
      <c r="BX16" s="97"/>
      <c r="BY16" s="97"/>
      <c r="BZ16" s="97"/>
      <c r="CA16" s="97"/>
      <c r="CB16" s="97"/>
      <c r="CC16" s="97"/>
      <c r="CD16" s="97"/>
      <c r="CE16" s="97"/>
      <c r="CF16" s="97"/>
      <c r="CG16" s="97"/>
      <c r="CH16" s="97"/>
      <c r="CI16" s="97"/>
      <c r="CJ16" s="97"/>
      <c r="CK16" s="97"/>
      <c r="CL16" s="97"/>
      <c r="CM16" s="97"/>
      <c r="CN16" s="97"/>
      <c r="CO16" s="97"/>
      <c r="CP16" s="97"/>
      <c r="CQ16" s="97"/>
      <c r="CR16" s="97"/>
      <c r="CS16" s="97"/>
      <c r="CT16" s="97"/>
      <c r="CU16" s="97"/>
      <c r="CV16" s="97"/>
      <c r="CW16" s="97"/>
      <c r="CX16" s="97"/>
      <c r="CY16" s="97"/>
      <c r="CZ16" s="97"/>
      <c r="DA16" s="97"/>
      <c r="DB16" s="97"/>
      <c r="DC16" s="97"/>
      <c r="DD16" s="97"/>
      <c r="DE16" s="97"/>
      <c r="DF16" s="97"/>
      <c r="DG16" s="97"/>
      <c r="DH16" s="97"/>
      <c r="DI16" s="97"/>
      <c r="DJ16" s="97"/>
      <c r="DK16" s="97"/>
      <c r="DL16" s="97"/>
      <c r="DM16" s="97"/>
      <c r="DN16" s="97"/>
      <c r="DO16" s="97"/>
      <c r="DP16" s="97"/>
      <c r="DQ16" s="97"/>
      <c r="DR16" s="97"/>
      <c r="DS16" s="97"/>
      <c r="DT16" s="97"/>
      <c r="DU16" s="97"/>
      <c r="DV16" s="97"/>
      <c r="DW16" s="97"/>
      <c r="DX16" s="97"/>
    </row>
    <row r="17" spans="1:128" ht="15.45" customHeight="1" x14ac:dyDescent="0.3">
      <c r="A17" s="97"/>
      <c r="B17" s="286">
        <v>7</v>
      </c>
      <c r="C17" s="282"/>
      <c r="D17" s="811"/>
      <c r="E17" s="812"/>
      <c r="F17" s="813"/>
      <c r="G17" s="814"/>
      <c r="H17" s="815"/>
      <c r="I17" s="319"/>
      <c r="J17" s="320"/>
      <c r="K17" s="321"/>
      <c r="L17" s="315" t="str">
        <f t="shared" si="0"/>
        <v/>
      </c>
      <c r="M17" s="315" t="str">
        <f t="shared" si="1"/>
        <v/>
      </c>
      <c r="N17" s="360" t="str">
        <f t="shared" si="2"/>
        <v/>
      </c>
      <c r="O17" s="130"/>
      <c r="P17" s="77"/>
      <c r="Q17" s="97"/>
      <c r="R17" s="649"/>
      <c r="S17" s="97"/>
      <c r="T17" s="785" t="str">
        <f>IF(C17="","",VLOOKUP(D17,'9. All Habitats + Multipliers'!$C$4:$K$102,5,FALSE))</f>
        <v/>
      </c>
      <c r="U17" s="786"/>
      <c r="V17" s="148" t="str">
        <f>IF(T17="","",VLOOKUP(T17,'11. Lists'!$B$47:$D$49,2,FALSE))</f>
        <v/>
      </c>
      <c r="W17" s="225" t="str">
        <f>IF(C17="","",VLOOKUP(D17,'10. Condition and Temporal'!$B$6:$C$103,2,FALSE))</f>
        <v/>
      </c>
      <c r="X17" s="148" t="str">
        <f>IF(W17="","",VLOOKUP(W17,'11. Lists'!$F$47:$G$51,2,FALSE))</f>
        <v/>
      </c>
      <c r="Y17" s="111"/>
      <c r="Z17" s="111"/>
      <c r="AA17" s="111"/>
      <c r="AB17" s="61" t="str">
        <f t="shared" si="3"/>
        <v/>
      </c>
      <c r="AC17" s="60" t="str">
        <f>IF(AB17="","",VLOOKUP(AB17,'11. Lists'!$F$36:$H$38,2,FALSE))</f>
        <v/>
      </c>
      <c r="AD17" s="148" t="str">
        <f>IF(AB17="","",VLOOKUP(AB17,'11. Lists'!$F$36:$H$38,3,FALSE))</f>
        <v/>
      </c>
      <c r="AE17" s="312" t="str">
        <f t="shared" si="4"/>
        <v/>
      </c>
      <c r="AF17" s="313" t="str">
        <f t="shared" si="5"/>
        <v/>
      </c>
      <c r="AG17" s="149" t="str">
        <f t="shared" si="6"/>
        <v/>
      </c>
      <c r="AH17" s="503" t="str">
        <f>IF(T17="","",VLOOKUP(T17,'11. Lists'!$B$47:$D$49,3,FALSE))</f>
        <v/>
      </c>
      <c r="AI17" s="535" t="str">
        <f>IF(D17="","",VLOOKUP(D17,'10. Condition and Temporal'!$B$6:$L$103,4,FALSE))</f>
        <v/>
      </c>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97"/>
      <c r="BS17" s="97"/>
      <c r="BT17" s="97"/>
      <c r="BU17" s="97"/>
      <c r="BV17" s="97"/>
      <c r="BW17" s="97"/>
      <c r="BX17" s="97"/>
      <c r="BY17" s="97"/>
      <c r="BZ17" s="97"/>
      <c r="CA17" s="97"/>
      <c r="CB17" s="97"/>
      <c r="CC17" s="97"/>
      <c r="CD17" s="97"/>
      <c r="CE17" s="97"/>
      <c r="CF17" s="97"/>
      <c r="CG17" s="97"/>
      <c r="CH17" s="97"/>
      <c r="CI17" s="97"/>
      <c r="CJ17" s="97"/>
      <c r="CK17" s="97"/>
      <c r="CL17" s="97"/>
      <c r="CM17" s="97"/>
      <c r="CN17" s="97"/>
      <c r="CO17" s="97"/>
      <c r="CP17" s="97"/>
      <c r="CQ17" s="97"/>
      <c r="CR17" s="97"/>
      <c r="CS17" s="97"/>
      <c r="CT17" s="97"/>
      <c r="CU17" s="97"/>
      <c r="CV17" s="97"/>
      <c r="CW17" s="97"/>
      <c r="CX17" s="97"/>
      <c r="CY17" s="97"/>
      <c r="CZ17" s="97"/>
      <c r="DA17" s="97"/>
      <c r="DB17" s="97"/>
      <c r="DC17" s="97"/>
      <c r="DD17" s="97"/>
      <c r="DE17" s="97"/>
      <c r="DF17" s="97"/>
      <c r="DG17" s="97"/>
      <c r="DH17" s="97"/>
      <c r="DI17" s="97"/>
      <c r="DJ17" s="97"/>
      <c r="DK17" s="97"/>
      <c r="DL17" s="97"/>
      <c r="DM17" s="97"/>
      <c r="DN17" s="97"/>
      <c r="DO17" s="97"/>
      <c r="DP17" s="97"/>
      <c r="DQ17" s="97"/>
      <c r="DR17" s="97"/>
      <c r="DS17" s="97"/>
      <c r="DT17" s="97"/>
      <c r="DU17" s="97"/>
      <c r="DV17" s="97"/>
      <c r="DW17" s="97"/>
      <c r="DX17" s="97"/>
    </row>
    <row r="18" spans="1:128" ht="15.45" customHeight="1" x14ac:dyDescent="0.3">
      <c r="A18" s="97"/>
      <c r="B18" s="286">
        <v>8</v>
      </c>
      <c r="C18" s="282"/>
      <c r="D18" s="811"/>
      <c r="E18" s="812"/>
      <c r="F18" s="813"/>
      <c r="G18" s="814"/>
      <c r="H18" s="815"/>
      <c r="I18" s="319"/>
      <c r="J18" s="320"/>
      <c r="K18" s="321"/>
      <c r="L18" s="315" t="str">
        <f t="shared" si="0"/>
        <v/>
      </c>
      <c r="M18" s="315" t="str">
        <f t="shared" si="1"/>
        <v/>
      </c>
      <c r="N18" s="360" t="str">
        <f t="shared" si="2"/>
        <v/>
      </c>
      <c r="O18" s="130"/>
      <c r="P18" s="77"/>
      <c r="Q18" s="97"/>
      <c r="R18" s="649"/>
      <c r="S18" s="97"/>
      <c r="T18" s="785" t="str">
        <f>IF(C18="","",VLOOKUP(D18,'9. All Habitats + Multipliers'!$C$4:$K$102,5,FALSE))</f>
        <v/>
      </c>
      <c r="U18" s="786"/>
      <c r="V18" s="148" t="str">
        <f>IF(T18="","",VLOOKUP(T18,'11. Lists'!$B$47:$D$49,2,FALSE))</f>
        <v/>
      </c>
      <c r="W18" s="225" t="str">
        <f>IF(C18="","",VLOOKUP(D18,'10. Condition and Temporal'!$B$6:$C$103,2,FALSE))</f>
        <v/>
      </c>
      <c r="X18" s="148" t="str">
        <f>IF(W18="","",VLOOKUP(W18,'11. Lists'!$F$47:$G$51,2,FALSE))</f>
        <v/>
      </c>
      <c r="Y18" s="111"/>
      <c r="Z18" s="111"/>
      <c r="AA18" s="111"/>
      <c r="AB18" s="61" t="str">
        <f t="shared" si="3"/>
        <v/>
      </c>
      <c r="AC18" s="60" t="str">
        <f>IF(AB18="","",VLOOKUP(AB18,'11. Lists'!$F$36:$H$38,2,FALSE))</f>
        <v/>
      </c>
      <c r="AD18" s="148" t="str">
        <f>IF(AB18="","",VLOOKUP(AB18,'11. Lists'!$F$36:$H$38,3,FALSE))</f>
        <v/>
      </c>
      <c r="AE18" s="312" t="str">
        <f t="shared" si="4"/>
        <v/>
      </c>
      <c r="AF18" s="313" t="str">
        <f t="shared" si="5"/>
        <v/>
      </c>
      <c r="AG18" s="149" t="str">
        <f t="shared" si="6"/>
        <v/>
      </c>
      <c r="AH18" s="503" t="str">
        <f>IF(T18="","",VLOOKUP(T18,'11. Lists'!$B$47:$D$49,3,FALSE))</f>
        <v/>
      </c>
      <c r="AI18" s="535" t="str">
        <f>IF(D18="","",VLOOKUP(D18,'10. Condition and Temporal'!$B$6:$L$103,4,FALSE))</f>
        <v/>
      </c>
      <c r="AJ18" s="97"/>
      <c r="AK18" s="97"/>
      <c r="AL18" s="97"/>
      <c r="AM18" s="97"/>
      <c r="AN18" s="97"/>
      <c r="AO18" s="97"/>
      <c r="AP18" s="97"/>
      <c r="AQ18" s="97"/>
      <c r="AR18" s="97"/>
      <c r="AS18" s="97"/>
      <c r="AT18" s="97"/>
      <c r="AU18" s="97"/>
      <c r="AV18" s="97"/>
      <c r="AW18" s="97"/>
      <c r="AX18" s="97"/>
      <c r="AY18" s="97"/>
      <c r="AZ18" s="97"/>
      <c r="BA18" s="97"/>
      <c r="BB18" s="97"/>
      <c r="BC18" s="97"/>
      <c r="BD18" s="97"/>
      <c r="BE18" s="97"/>
      <c r="BF18" s="97"/>
      <c r="BG18" s="97"/>
      <c r="BH18" s="97"/>
      <c r="BI18" s="97"/>
      <c r="BJ18" s="97"/>
      <c r="BK18" s="97"/>
      <c r="BL18" s="97"/>
      <c r="BM18" s="97"/>
      <c r="BN18" s="97"/>
      <c r="BO18" s="97"/>
      <c r="BP18" s="97"/>
      <c r="BQ18" s="97"/>
      <c r="BR18" s="97"/>
      <c r="BS18" s="97"/>
      <c r="BT18" s="97"/>
      <c r="BU18" s="97"/>
      <c r="BV18" s="97"/>
      <c r="BW18" s="97"/>
      <c r="BX18" s="97"/>
      <c r="BY18" s="97"/>
      <c r="BZ18" s="97"/>
      <c r="CA18" s="97"/>
      <c r="CB18" s="97"/>
      <c r="CC18" s="97"/>
      <c r="CD18" s="97"/>
      <c r="CE18" s="97"/>
      <c r="CF18" s="97"/>
      <c r="CG18" s="97"/>
      <c r="CH18" s="97"/>
      <c r="CI18" s="97"/>
      <c r="CJ18" s="97"/>
      <c r="CK18" s="97"/>
      <c r="CL18" s="97"/>
      <c r="CM18" s="97"/>
      <c r="CN18" s="97"/>
      <c r="CO18" s="97"/>
      <c r="CP18" s="97"/>
      <c r="CQ18" s="97"/>
      <c r="CR18" s="97"/>
      <c r="CS18" s="97"/>
      <c r="CT18" s="97"/>
      <c r="CU18" s="97"/>
      <c r="CV18" s="97"/>
      <c r="CW18" s="97"/>
      <c r="CX18" s="97"/>
      <c r="CY18" s="97"/>
      <c r="CZ18" s="97"/>
      <c r="DA18" s="97"/>
      <c r="DB18" s="97"/>
      <c r="DC18" s="97"/>
      <c r="DD18" s="97"/>
      <c r="DE18" s="97"/>
      <c r="DF18" s="97"/>
      <c r="DG18" s="97"/>
      <c r="DH18" s="97"/>
      <c r="DI18" s="97"/>
      <c r="DJ18" s="97"/>
      <c r="DK18" s="97"/>
      <c r="DL18" s="97"/>
      <c r="DM18" s="97"/>
      <c r="DN18" s="97"/>
      <c r="DO18" s="97"/>
      <c r="DP18" s="97"/>
      <c r="DQ18" s="97"/>
      <c r="DR18" s="97"/>
      <c r="DS18" s="97"/>
      <c r="DT18" s="97"/>
      <c r="DU18" s="97"/>
      <c r="DV18" s="97"/>
      <c r="DW18" s="97"/>
      <c r="DX18" s="97"/>
    </row>
    <row r="19" spans="1:128" ht="15.45" customHeight="1" x14ac:dyDescent="0.3">
      <c r="A19" s="97"/>
      <c r="B19" s="286">
        <v>9</v>
      </c>
      <c r="C19" s="282"/>
      <c r="D19" s="811"/>
      <c r="E19" s="812"/>
      <c r="F19" s="813"/>
      <c r="G19" s="814"/>
      <c r="H19" s="815"/>
      <c r="I19" s="319"/>
      <c r="J19" s="320"/>
      <c r="K19" s="321"/>
      <c r="L19" s="315" t="str">
        <f t="shared" si="0"/>
        <v/>
      </c>
      <c r="M19" s="315" t="str">
        <f t="shared" si="1"/>
        <v/>
      </c>
      <c r="N19" s="360" t="str">
        <f t="shared" si="2"/>
        <v/>
      </c>
      <c r="O19" s="130"/>
      <c r="P19" s="77"/>
      <c r="Q19" s="97"/>
      <c r="R19" s="649"/>
      <c r="S19" s="97"/>
      <c r="T19" s="785" t="str">
        <f>IF(C19="","",VLOOKUP(D19,'9. All Habitats + Multipliers'!$C$4:$K$102,5,FALSE))</f>
        <v/>
      </c>
      <c r="U19" s="786"/>
      <c r="V19" s="148" t="str">
        <f>IF(T19="","",VLOOKUP(T19,'11. Lists'!$B$47:$D$49,2,FALSE))</f>
        <v/>
      </c>
      <c r="W19" s="225" t="str">
        <f>IF(C19="","",VLOOKUP(D19,'10. Condition and Temporal'!$B$6:$C$103,2,FALSE))</f>
        <v/>
      </c>
      <c r="X19" s="148" t="str">
        <f>IF(W19="","",VLOOKUP(W19,'11. Lists'!$F$47:$G$51,2,FALSE))</f>
        <v/>
      </c>
      <c r="Y19" s="111"/>
      <c r="Z19" s="111"/>
      <c r="AA19" s="111"/>
      <c r="AB19" s="61" t="str">
        <f t="shared" si="3"/>
        <v/>
      </c>
      <c r="AC19" s="60" t="str">
        <f>IF(AB19="","",VLOOKUP(AB19,'11. Lists'!$F$36:$H$38,2,FALSE))</f>
        <v/>
      </c>
      <c r="AD19" s="148" t="str">
        <f>IF(AB19="","",VLOOKUP(AB19,'11. Lists'!$F$36:$H$38,3,FALSE))</f>
        <v/>
      </c>
      <c r="AE19" s="312" t="str">
        <f t="shared" si="4"/>
        <v/>
      </c>
      <c r="AF19" s="313" t="str">
        <f t="shared" si="5"/>
        <v/>
      </c>
      <c r="AG19" s="149" t="str">
        <f t="shared" si="6"/>
        <v/>
      </c>
      <c r="AH19" s="503" t="str">
        <f>IF(T19="","",VLOOKUP(T19,'11. Lists'!$B$47:$D$49,3,FALSE))</f>
        <v/>
      </c>
      <c r="AI19" s="535" t="str">
        <f>IF(D19="","",VLOOKUP(D19,'10. Condition and Temporal'!$B$6:$L$103,4,FALSE))</f>
        <v/>
      </c>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97"/>
      <c r="CE19" s="97"/>
      <c r="CF19" s="97"/>
      <c r="CG19" s="97"/>
      <c r="CH19" s="97"/>
      <c r="CI19" s="97"/>
      <c r="CJ19" s="97"/>
      <c r="CK19" s="97"/>
      <c r="CL19" s="97"/>
      <c r="CM19" s="97"/>
      <c r="CN19" s="97"/>
      <c r="CO19" s="97"/>
      <c r="CP19" s="97"/>
      <c r="CQ19" s="97"/>
      <c r="CR19" s="97"/>
      <c r="CS19" s="97"/>
      <c r="CT19" s="97"/>
      <c r="CU19" s="97"/>
      <c r="CV19" s="97"/>
      <c r="CW19" s="97"/>
      <c r="CX19" s="97"/>
      <c r="CY19" s="97"/>
      <c r="CZ19" s="97"/>
      <c r="DA19" s="97"/>
      <c r="DB19" s="97"/>
      <c r="DC19" s="97"/>
      <c r="DD19" s="97"/>
      <c r="DE19" s="97"/>
      <c r="DF19" s="97"/>
      <c r="DG19" s="97"/>
      <c r="DH19" s="97"/>
      <c r="DI19" s="97"/>
      <c r="DJ19" s="97"/>
      <c r="DK19" s="97"/>
      <c r="DL19" s="97"/>
      <c r="DM19" s="97"/>
      <c r="DN19" s="97"/>
      <c r="DO19" s="97"/>
      <c r="DP19" s="97"/>
      <c r="DQ19" s="97"/>
      <c r="DR19" s="97"/>
      <c r="DS19" s="97"/>
      <c r="DT19" s="97"/>
      <c r="DU19" s="97"/>
      <c r="DV19" s="97"/>
      <c r="DW19" s="97"/>
      <c r="DX19" s="97"/>
    </row>
    <row r="20" spans="1:128" ht="15.45" customHeight="1" x14ac:dyDescent="0.3">
      <c r="A20" s="97"/>
      <c r="B20" s="286">
        <v>10</v>
      </c>
      <c r="C20" s="282"/>
      <c r="D20" s="811"/>
      <c r="E20" s="812"/>
      <c r="F20" s="813"/>
      <c r="G20" s="814"/>
      <c r="H20" s="815"/>
      <c r="I20" s="319"/>
      <c r="J20" s="320"/>
      <c r="K20" s="321"/>
      <c r="L20" s="315" t="str">
        <f t="shared" si="0"/>
        <v/>
      </c>
      <c r="M20" s="315" t="str">
        <f t="shared" si="1"/>
        <v/>
      </c>
      <c r="N20" s="360" t="str">
        <f t="shared" si="2"/>
        <v/>
      </c>
      <c r="O20" s="131"/>
      <c r="P20" s="81"/>
      <c r="Q20" s="97"/>
      <c r="R20" s="649"/>
      <c r="S20" s="97"/>
      <c r="T20" s="785" t="str">
        <f>IF(C20="","",VLOOKUP(D20,'9. All Habitats + Multipliers'!$C$4:$K$102,5,FALSE))</f>
        <v/>
      </c>
      <c r="U20" s="786"/>
      <c r="V20" s="148" t="str">
        <f>IF(T20="","",VLOOKUP(T20,'11. Lists'!$B$47:$D$49,2,FALSE))</f>
        <v/>
      </c>
      <c r="W20" s="225" t="str">
        <f>IF(C20="","",VLOOKUP(D20,'10. Condition and Temporal'!$B$6:$C$103,2,FALSE))</f>
        <v/>
      </c>
      <c r="X20" s="148" t="str">
        <f>IF(W20="","",VLOOKUP(W20,'11. Lists'!$F$47:$G$51,2,FALSE))</f>
        <v/>
      </c>
      <c r="Y20" s="111"/>
      <c r="Z20" s="111"/>
      <c r="AA20" s="111"/>
      <c r="AB20" s="61" t="str">
        <f t="shared" si="3"/>
        <v/>
      </c>
      <c r="AC20" s="60" t="str">
        <f>IF(AB20="","",VLOOKUP(AB20,'11. Lists'!$F$36:$H$38,2,FALSE))</f>
        <v/>
      </c>
      <c r="AD20" s="148" t="str">
        <f>IF(AB20="","",VLOOKUP(AB20,'11. Lists'!$F$36:$H$38,3,FALSE))</f>
        <v/>
      </c>
      <c r="AE20" s="312" t="str">
        <f t="shared" si="4"/>
        <v/>
      </c>
      <c r="AF20" s="313" t="str">
        <f t="shared" si="5"/>
        <v/>
      </c>
      <c r="AG20" s="149" t="str">
        <f t="shared" si="6"/>
        <v/>
      </c>
      <c r="AH20" s="503" t="str">
        <f>IF(T20="","",VLOOKUP(T20,'11. Lists'!$B$47:$D$49,3,FALSE))</f>
        <v/>
      </c>
      <c r="AI20" s="535" t="str">
        <f>IF(D20="","",VLOOKUP(D20,'10. Condition and Temporal'!$B$6:$L$103,4,FALSE))</f>
        <v/>
      </c>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c r="CE20" s="97"/>
      <c r="CF20" s="97"/>
      <c r="CG20" s="97"/>
      <c r="CH20" s="97"/>
      <c r="CI20" s="97"/>
      <c r="CJ20" s="97"/>
      <c r="CK20" s="97"/>
      <c r="CL20" s="97"/>
      <c r="CM20" s="97"/>
      <c r="CN20" s="97"/>
      <c r="CO20" s="97"/>
      <c r="CP20" s="97"/>
      <c r="CQ20" s="97"/>
      <c r="CR20" s="97"/>
      <c r="CS20" s="97"/>
      <c r="CT20" s="97"/>
      <c r="CU20" s="97"/>
      <c r="CV20" s="97"/>
      <c r="CW20" s="97"/>
      <c r="CX20" s="97"/>
      <c r="CY20" s="97"/>
      <c r="CZ20" s="97"/>
      <c r="DA20" s="97"/>
      <c r="DB20" s="97"/>
      <c r="DC20" s="97"/>
      <c r="DD20" s="97"/>
      <c r="DE20" s="97"/>
      <c r="DF20" s="97"/>
      <c r="DG20" s="97"/>
      <c r="DH20" s="97"/>
      <c r="DI20" s="97"/>
      <c r="DJ20" s="97"/>
      <c r="DK20" s="97"/>
      <c r="DL20" s="97"/>
      <c r="DM20" s="97"/>
      <c r="DN20" s="97"/>
      <c r="DO20" s="97"/>
      <c r="DP20" s="97"/>
      <c r="DQ20" s="97"/>
      <c r="DR20" s="97"/>
      <c r="DS20" s="97"/>
      <c r="DT20" s="97"/>
      <c r="DU20" s="97"/>
      <c r="DV20" s="97"/>
      <c r="DW20" s="97"/>
      <c r="DX20" s="97"/>
    </row>
    <row r="21" spans="1:128" ht="15.45" customHeight="1" x14ac:dyDescent="0.3">
      <c r="A21" s="97"/>
      <c r="B21" s="286">
        <v>11</v>
      </c>
      <c r="C21" s="282"/>
      <c r="D21" s="811"/>
      <c r="E21" s="812"/>
      <c r="F21" s="813"/>
      <c r="G21" s="814"/>
      <c r="H21" s="815"/>
      <c r="I21" s="319"/>
      <c r="J21" s="320"/>
      <c r="K21" s="321"/>
      <c r="L21" s="315" t="str">
        <f t="shared" si="0"/>
        <v/>
      </c>
      <c r="M21" s="315" t="str">
        <f t="shared" si="1"/>
        <v/>
      </c>
      <c r="N21" s="360" t="str">
        <f t="shared" si="2"/>
        <v/>
      </c>
      <c r="O21" s="131"/>
      <c r="P21" s="81"/>
      <c r="Q21" s="97"/>
      <c r="R21" s="649"/>
      <c r="S21" s="97"/>
      <c r="T21" s="785" t="str">
        <f>IF(C21="","",VLOOKUP(D21,'9. All Habitats + Multipliers'!$C$4:$K$102,5,FALSE))</f>
        <v/>
      </c>
      <c r="U21" s="786"/>
      <c r="V21" s="148" t="str">
        <f>IF(T21="","",VLOOKUP(T21,'11. Lists'!$B$47:$D$49,2,FALSE))</f>
        <v/>
      </c>
      <c r="W21" s="225" t="str">
        <f>IF(C21="","",VLOOKUP(D21,'10. Condition and Temporal'!$B$6:$C$103,2,FALSE))</f>
        <v/>
      </c>
      <c r="X21" s="148" t="str">
        <f>IF(W21="","",VLOOKUP(W21,'11. Lists'!$F$47:$G$51,2,FALSE))</f>
        <v/>
      </c>
      <c r="Y21" s="111"/>
      <c r="Z21" s="111"/>
      <c r="AA21" s="111"/>
      <c r="AB21" s="61" t="str">
        <f t="shared" si="3"/>
        <v/>
      </c>
      <c r="AC21" s="60" t="str">
        <f>IF(AB21="","",VLOOKUP(AB21,'11. Lists'!$F$36:$H$38,2,FALSE))</f>
        <v/>
      </c>
      <c r="AD21" s="148" t="str">
        <f>IF(AB21="","",VLOOKUP(AB21,'11. Lists'!$F$36:$H$38,3,FALSE))</f>
        <v/>
      </c>
      <c r="AE21" s="312" t="str">
        <f t="shared" si="4"/>
        <v/>
      </c>
      <c r="AF21" s="313" t="str">
        <f t="shared" si="5"/>
        <v/>
      </c>
      <c r="AG21" s="149" t="str">
        <f t="shared" si="6"/>
        <v/>
      </c>
      <c r="AH21" s="503" t="str">
        <f>IF(T21="","",VLOOKUP(T21,'11. Lists'!$B$47:$D$49,3,FALSE))</f>
        <v/>
      </c>
      <c r="AI21" s="535" t="str">
        <f>IF(D21="","",VLOOKUP(D21,'10. Condition and Temporal'!$B$6:$L$103,4,FALSE))</f>
        <v/>
      </c>
      <c r="AJ21" s="97"/>
      <c r="AK21" s="97"/>
      <c r="AL21" s="97"/>
      <c r="AM21" s="97"/>
      <c r="AN21" s="97"/>
      <c r="AO21" s="97"/>
      <c r="AP21" s="97"/>
      <c r="AQ21" s="97"/>
      <c r="AR21" s="97"/>
      <c r="AS21" s="97"/>
      <c r="AT21" s="97"/>
      <c r="AU21" s="97"/>
      <c r="AV21" s="97"/>
      <c r="AW21" s="97"/>
      <c r="AX21" s="97"/>
      <c r="AY21" s="97"/>
      <c r="AZ21" s="97"/>
      <c r="BA21" s="97"/>
      <c r="BB21" s="97"/>
      <c r="BC21" s="97"/>
      <c r="BD21" s="97"/>
      <c r="BE21" s="97"/>
      <c r="BF21" s="97"/>
      <c r="BG21" s="97"/>
      <c r="BH21" s="97"/>
      <c r="BI21" s="97"/>
      <c r="BJ21" s="97"/>
      <c r="BK21" s="97"/>
      <c r="BL21" s="97"/>
      <c r="BM21" s="97"/>
      <c r="BN21" s="97"/>
      <c r="BO21" s="97"/>
      <c r="BP21" s="97"/>
      <c r="BQ21" s="97"/>
      <c r="BR21" s="97"/>
      <c r="BS21" s="97"/>
      <c r="BT21" s="97"/>
      <c r="BU21" s="97"/>
      <c r="BV21" s="97"/>
      <c r="BW21" s="97"/>
      <c r="BX21" s="97"/>
      <c r="BY21" s="97"/>
      <c r="BZ21" s="97"/>
      <c r="CA21" s="97"/>
      <c r="CB21" s="97"/>
      <c r="CC21" s="97"/>
      <c r="CD21" s="97"/>
      <c r="CE21" s="97"/>
      <c r="CF21" s="97"/>
      <c r="CG21" s="97"/>
      <c r="CH21" s="97"/>
      <c r="CI21" s="97"/>
      <c r="CJ21" s="97"/>
      <c r="CK21" s="97"/>
      <c r="CL21" s="97"/>
      <c r="CM21" s="97"/>
      <c r="CN21" s="97"/>
      <c r="CO21" s="97"/>
      <c r="CP21" s="97"/>
      <c r="CQ21" s="97"/>
      <c r="CR21" s="97"/>
      <c r="CS21" s="97"/>
      <c r="CT21" s="97"/>
      <c r="CU21" s="97"/>
      <c r="CV21" s="97"/>
      <c r="CW21" s="97"/>
      <c r="CX21" s="97"/>
      <c r="CY21" s="97"/>
      <c r="CZ21" s="97"/>
      <c r="DA21" s="97"/>
      <c r="DB21" s="97"/>
      <c r="DC21" s="97"/>
      <c r="DD21" s="97"/>
      <c r="DE21" s="97"/>
      <c r="DF21" s="97"/>
      <c r="DG21" s="97"/>
      <c r="DH21" s="97"/>
      <c r="DI21" s="97"/>
      <c r="DJ21" s="97"/>
      <c r="DK21" s="97"/>
      <c r="DL21" s="97"/>
      <c r="DM21" s="97"/>
      <c r="DN21" s="97"/>
      <c r="DO21" s="97"/>
      <c r="DP21" s="97"/>
      <c r="DQ21" s="97"/>
      <c r="DR21" s="97"/>
      <c r="DS21" s="97"/>
      <c r="DT21" s="97"/>
      <c r="DU21" s="97"/>
      <c r="DV21" s="97"/>
      <c r="DW21" s="97"/>
      <c r="DX21" s="97"/>
    </row>
    <row r="22" spans="1:128" ht="15.45" customHeight="1" x14ac:dyDescent="0.3">
      <c r="A22" s="97"/>
      <c r="B22" s="286">
        <v>12</v>
      </c>
      <c r="C22" s="282"/>
      <c r="D22" s="811"/>
      <c r="E22" s="812"/>
      <c r="F22" s="813"/>
      <c r="G22" s="814"/>
      <c r="H22" s="815"/>
      <c r="I22" s="319"/>
      <c r="J22" s="320"/>
      <c r="K22" s="321"/>
      <c r="L22" s="315" t="str">
        <f t="shared" si="0"/>
        <v/>
      </c>
      <c r="M22" s="315" t="str">
        <f t="shared" si="1"/>
        <v/>
      </c>
      <c r="N22" s="360" t="str">
        <f t="shared" si="2"/>
        <v/>
      </c>
      <c r="O22" s="131"/>
      <c r="P22" s="81"/>
      <c r="Q22" s="97"/>
      <c r="R22" s="649"/>
      <c r="S22" s="97"/>
      <c r="T22" s="785" t="str">
        <f>IF(C22="","",VLOOKUP(D22,'9. All Habitats + Multipliers'!$C$4:$K$102,5,FALSE))</f>
        <v/>
      </c>
      <c r="U22" s="786"/>
      <c r="V22" s="148" t="str">
        <f>IF(T22="","",VLOOKUP(T22,'11. Lists'!$B$47:$D$49,2,FALSE))</f>
        <v/>
      </c>
      <c r="W22" s="225" t="str">
        <f>IF(C22="","",VLOOKUP(D22,'10. Condition and Temporal'!$B$6:$C$103,2,FALSE))</f>
        <v/>
      </c>
      <c r="X22" s="148" t="str">
        <f>IF(W22="","",VLOOKUP(W22,'11. Lists'!$F$47:$G$51,2,FALSE))</f>
        <v/>
      </c>
      <c r="Y22" s="111"/>
      <c r="Z22" s="111"/>
      <c r="AA22" s="111"/>
      <c r="AB22" s="61" t="str">
        <f t="shared" si="3"/>
        <v/>
      </c>
      <c r="AC22" s="60" t="str">
        <f>IF(AB22="","",VLOOKUP(AB22,'11. Lists'!$F$36:$H$38,2,FALSE))</f>
        <v/>
      </c>
      <c r="AD22" s="148" t="str">
        <f>IF(AB22="","",VLOOKUP(AB22,'11. Lists'!$F$36:$H$38,3,FALSE))</f>
        <v/>
      </c>
      <c r="AE22" s="312" t="str">
        <f t="shared" si="4"/>
        <v/>
      </c>
      <c r="AF22" s="313" t="str">
        <f t="shared" si="5"/>
        <v/>
      </c>
      <c r="AG22" s="149" t="str">
        <f t="shared" si="6"/>
        <v/>
      </c>
      <c r="AH22" s="503" t="str">
        <f>IF(T22="","",VLOOKUP(T22,'11. Lists'!$B$47:$D$49,3,FALSE))</f>
        <v/>
      </c>
      <c r="AI22" s="535" t="str">
        <f>IF(D22="","",VLOOKUP(D22,'10. Condition and Temporal'!$B$6:$L$103,4,FALSE))</f>
        <v/>
      </c>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c r="BY22" s="97"/>
      <c r="BZ22" s="97"/>
      <c r="CA22" s="97"/>
      <c r="CB22" s="97"/>
      <c r="CC22" s="97"/>
      <c r="CD22" s="97"/>
      <c r="CE22" s="97"/>
      <c r="CF22" s="97"/>
      <c r="CG22" s="97"/>
      <c r="CH22" s="97"/>
      <c r="CI22" s="97"/>
      <c r="CJ22" s="97"/>
      <c r="CK22" s="97"/>
      <c r="CL22" s="97"/>
      <c r="CM22" s="97"/>
      <c r="CN22" s="97"/>
      <c r="CO22" s="97"/>
      <c r="CP22" s="97"/>
      <c r="CQ22" s="97"/>
      <c r="CR22" s="97"/>
      <c r="CS22" s="97"/>
      <c r="CT22" s="97"/>
      <c r="CU22" s="97"/>
      <c r="CV22" s="97"/>
      <c r="CW22" s="97"/>
      <c r="CX22" s="97"/>
      <c r="CY22" s="97"/>
      <c r="CZ22" s="97"/>
      <c r="DA22" s="97"/>
      <c r="DB22" s="97"/>
      <c r="DC22" s="97"/>
      <c r="DD22" s="97"/>
      <c r="DE22" s="97"/>
      <c r="DF22" s="97"/>
      <c r="DG22" s="97"/>
      <c r="DH22" s="97"/>
      <c r="DI22" s="97"/>
      <c r="DJ22" s="97"/>
      <c r="DK22" s="97"/>
      <c r="DL22" s="97"/>
      <c r="DM22" s="97"/>
      <c r="DN22" s="97"/>
      <c r="DO22" s="97"/>
      <c r="DP22" s="97"/>
      <c r="DQ22" s="97"/>
      <c r="DR22" s="97"/>
      <c r="DS22" s="97"/>
      <c r="DT22" s="97"/>
      <c r="DU22" s="97"/>
      <c r="DV22" s="97"/>
      <c r="DW22" s="97"/>
      <c r="DX22" s="97"/>
    </row>
    <row r="23" spans="1:128" ht="15.45" customHeight="1" x14ac:dyDescent="0.3">
      <c r="A23" s="97"/>
      <c r="B23" s="286">
        <v>13</v>
      </c>
      <c r="C23" s="283"/>
      <c r="D23" s="811"/>
      <c r="E23" s="812"/>
      <c r="F23" s="813"/>
      <c r="G23" s="814"/>
      <c r="H23" s="815"/>
      <c r="I23" s="319"/>
      <c r="J23" s="320"/>
      <c r="K23" s="321"/>
      <c r="L23" s="315" t="str">
        <f t="shared" si="0"/>
        <v/>
      </c>
      <c r="M23" s="315" t="str">
        <f t="shared" si="1"/>
        <v/>
      </c>
      <c r="N23" s="360" t="str">
        <f t="shared" si="2"/>
        <v/>
      </c>
      <c r="O23" s="131"/>
      <c r="P23" s="81"/>
      <c r="Q23" s="97"/>
      <c r="R23" s="649"/>
      <c r="S23" s="97"/>
      <c r="T23" s="785" t="str">
        <f>IF(C23="","",VLOOKUP(D23,'9. All Habitats + Multipliers'!$C$4:$K$102,5,FALSE))</f>
        <v/>
      </c>
      <c r="U23" s="786"/>
      <c r="V23" s="148" t="str">
        <f>IF(T23="","",VLOOKUP(T23,'11. Lists'!$B$47:$D$49,2,FALSE))</f>
        <v/>
      </c>
      <c r="W23" s="225" t="str">
        <f>IF(C23="","",VLOOKUP(D23,'10. Condition and Temporal'!$B$6:$C$103,2,FALSE))</f>
        <v/>
      </c>
      <c r="X23" s="148" t="str">
        <f>IF(W23="","",VLOOKUP(W23,'11. Lists'!$F$47:$G$51,2,FALSE))</f>
        <v/>
      </c>
      <c r="Y23" s="111"/>
      <c r="Z23" s="111"/>
      <c r="AA23" s="111"/>
      <c r="AB23" s="61" t="str">
        <f t="shared" si="3"/>
        <v/>
      </c>
      <c r="AC23" s="60" t="str">
        <f>IF(AB23="","",VLOOKUP(AB23,'11. Lists'!$F$36:$H$38,2,FALSE))</f>
        <v/>
      </c>
      <c r="AD23" s="148" t="str">
        <f>IF(AB23="","",VLOOKUP(AB23,'11. Lists'!$F$36:$H$38,3,FALSE))</f>
        <v/>
      </c>
      <c r="AE23" s="312" t="str">
        <f t="shared" si="4"/>
        <v/>
      </c>
      <c r="AF23" s="313" t="str">
        <f t="shared" si="5"/>
        <v/>
      </c>
      <c r="AG23" s="149" t="str">
        <f t="shared" si="6"/>
        <v/>
      </c>
      <c r="AH23" s="503" t="str">
        <f>IF(T23="","",VLOOKUP(T23,'11. Lists'!$B$47:$D$49,3,FALSE))</f>
        <v/>
      </c>
      <c r="AI23" s="535" t="str">
        <f>IF(D23="","",VLOOKUP(D23,'10. Condition and Temporal'!$B$6:$L$103,4,FALSE))</f>
        <v/>
      </c>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row>
    <row r="24" spans="1:128" ht="15.45" customHeight="1" x14ac:dyDescent="0.3">
      <c r="A24" s="97"/>
      <c r="B24" s="286">
        <v>14</v>
      </c>
      <c r="C24" s="283"/>
      <c r="D24" s="811"/>
      <c r="E24" s="812"/>
      <c r="F24" s="813"/>
      <c r="G24" s="814"/>
      <c r="H24" s="815"/>
      <c r="I24" s="319"/>
      <c r="J24" s="320"/>
      <c r="K24" s="321"/>
      <c r="L24" s="315" t="str">
        <f t="shared" si="0"/>
        <v/>
      </c>
      <c r="M24" s="315" t="str">
        <f t="shared" si="1"/>
        <v/>
      </c>
      <c r="N24" s="360" t="str">
        <f t="shared" si="2"/>
        <v/>
      </c>
      <c r="O24" s="131"/>
      <c r="P24" s="81"/>
      <c r="Q24" s="97"/>
      <c r="R24" s="649"/>
      <c r="S24" s="97"/>
      <c r="T24" s="785" t="str">
        <f>IF(C24="","",VLOOKUP(D24,'9. All Habitats + Multipliers'!$C$4:$K$102,5,FALSE))</f>
        <v/>
      </c>
      <c r="U24" s="786"/>
      <c r="V24" s="148" t="str">
        <f>IF(T24="","",VLOOKUP(T24,'11. Lists'!$B$47:$D$49,2,FALSE))</f>
        <v/>
      </c>
      <c r="W24" s="225" t="str">
        <f>IF(C24="","",VLOOKUP(D24,'10. Condition and Temporal'!$B$6:$C$103,2,FALSE))</f>
        <v/>
      </c>
      <c r="X24" s="148" t="str">
        <f>IF(W24="","",VLOOKUP(W24,'11. Lists'!$F$47:$G$51,2,FALSE))</f>
        <v/>
      </c>
      <c r="Y24" s="111"/>
      <c r="Z24" s="111"/>
      <c r="AA24" s="111"/>
      <c r="AB24" s="61" t="str">
        <f t="shared" si="3"/>
        <v/>
      </c>
      <c r="AC24" s="60" t="str">
        <f>IF(AB24="","",VLOOKUP(AB24,'11. Lists'!$F$36:$H$38,2,FALSE))</f>
        <v/>
      </c>
      <c r="AD24" s="148" t="str">
        <f>IF(AB24="","",VLOOKUP(AB24,'11. Lists'!$F$36:$H$38,3,FALSE))</f>
        <v/>
      </c>
      <c r="AE24" s="312" t="str">
        <f t="shared" si="4"/>
        <v/>
      </c>
      <c r="AF24" s="313" t="str">
        <f t="shared" si="5"/>
        <v/>
      </c>
      <c r="AG24" s="149" t="str">
        <f t="shared" si="6"/>
        <v/>
      </c>
      <c r="AH24" s="503" t="str">
        <f>IF(T24="","",VLOOKUP(T24,'11. Lists'!$B$47:$D$49,3,FALSE))</f>
        <v/>
      </c>
      <c r="AI24" s="535" t="str">
        <f>IF(D24="","",VLOOKUP(D24,'10. Condition and Temporal'!$B$6:$L$103,4,FALSE))</f>
        <v/>
      </c>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row>
    <row r="25" spans="1:128" ht="15.45" customHeight="1" x14ac:dyDescent="0.3">
      <c r="A25" s="97"/>
      <c r="B25" s="286">
        <v>15</v>
      </c>
      <c r="C25" s="283"/>
      <c r="D25" s="811"/>
      <c r="E25" s="812"/>
      <c r="F25" s="813"/>
      <c r="G25" s="814"/>
      <c r="H25" s="815"/>
      <c r="I25" s="319"/>
      <c r="J25" s="320"/>
      <c r="K25" s="321"/>
      <c r="L25" s="315" t="str">
        <f t="shared" si="0"/>
        <v/>
      </c>
      <c r="M25" s="315" t="str">
        <f t="shared" si="1"/>
        <v/>
      </c>
      <c r="N25" s="360" t="str">
        <f t="shared" si="2"/>
        <v/>
      </c>
      <c r="O25" s="131"/>
      <c r="P25" s="81"/>
      <c r="Q25" s="97"/>
      <c r="R25" s="649"/>
      <c r="S25" s="97"/>
      <c r="T25" s="785" t="str">
        <f>IF(C25="","",VLOOKUP(D25,'9. All Habitats + Multipliers'!$C$4:$K$102,5,FALSE))</f>
        <v/>
      </c>
      <c r="U25" s="786"/>
      <c r="V25" s="148" t="str">
        <f>IF(T25="","",VLOOKUP(T25,'11. Lists'!$B$47:$D$49,2,FALSE))</f>
        <v/>
      </c>
      <c r="W25" s="225" t="str">
        <f>IF(C25="","",VLOOKUP(D25,'10. Condition and Temporal'!$B$6:$C$103,2,FALSE))</f>
        <v/>
      </c>
      <c r="X25" s="148" t="str">
        <f>IF(W25="","",VLOOKUP(W25,'11. Lists'!$F$47:$G$51,2,FALSE))</f>
        <v/>
      </c>
      <c r="Y25" s="111"/>
      <c r="Z25" s="111"/>
      <c r="AA25" s="111"/>
      <c r="AB25" s="61" t="str">
        <f t="shared" si="3"/>
        <v/>
      </c>
      <c r="AC25" s="60" t="str">
        <f>IF(AB25="","",VLOOKUP(AB25,'11. Lists'!$F$36:$H$38,2,FALSE))</f>
        <v/>
      </c>
      <c r="AD25" s="148" t="str">
        <f>IF(AB25="","",VLOOKUP(AB25,'11. Lists'!$F$36:$H$38,3,FALSE))</f>
        <v/>
      </c>
      <c r="AE25" s="312" t="str">
        <f t="shared" si="4"/>
        <v/>
      </c>
      <c r="AF25" s="313" t="str">
        <f t="shared" si="5"/>
        <v/>
      </c>
      <c r="AG25" s="149" t="str">
        <f t="shared" si="6"/>
        <v/>
      </c>
      <c r="AH25" s="503" t="str">
        <f>IF(T25="","",VLOOKUP(T25,'11. Lists'!$B$47:$D$49,3,FALSE))</f>
        <v/>
      </c>
      <c r="AI25" s="535" t="str">
        <f>IF(D25="","",VLOOKUP(D25,'10. Condition and Temporal'!$B$6:$L$103,4,FALSE))</f>
        <v/>
      </c>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row>
    <row r="26" spans="1:128" ht="15.45" customHeight="1" x14ac:dyDescent="0.3">
      <c r="A26" s="97"/>
      <c r="B26" s="286">
        <v>16</v>
      </c>
      <c r="C26" s="283"/>
      <c r="D26" s="811"/>
      <c r="E26" s="812"/>
      <c r="F26" s="813"/>
      <c r="G26" s="814"/>
      <c r="H26" s="815"/>
      <c r="I26" s="319"/>
      <c r="J26" s="320"/>
      <c r="K26" s="321"/>
      <c r="L26" s="315" t="str">
        <f t="shared" si="0"/>
        <v/>
      </c>
      <c r="M26" s="315" t="str">
        <f t="shared" si="1"/>
        <v/>
      </c>
      <c r="N26" s="360" t="str">
        <f t="shared" si="2"/>
        <v/>
      </c>
      <c r="O26" s="131"/>
      <c r="P26" s="81"/>
      <c r="Q26" s="97"/>
      <c r="R26" s="649"/>
      <c r="S26" s="97"/>
      <c r="T26" s="785" t="str">
        <f>IF(C26="","",VLOOKUP(D26,'9. All Habitats + Multipliers'!$C$4:$K$102,5,FALSE))</f>
        <v/>
      </c>
      <c r="U26" s="786"/>
      <c r="V26" s="148" t="str">
        <f>IF(T26="","",VLOOKUP(T26,'11. Lists'!$B$47:$D$49,2,FALSE))</f>
        <v/>
      </c>
      <c r="W26" s="225" t="str">
        <f>IF(C26="","",VLOOKUP(D26,'10. Condition and Temporal'!$B$6:$C$103,2,FALSE))</f>
        <v/>
      </c>
      <c r="X26" s="148" t="str">
        <f>IF(W26="","",VLOOKUP(W26,'11. Lists'!$F$47:$G$51,2,FALSE))</f>
        <v/>
      </c>
      <c r="Y26" s="111"/>
      <c r="Z26" s="111"/>
      <c r="AA26" s="111"/>
      <c r="AB26" s="61" t="str">
        <f t="shared" si="3"/>
        <v/>
      </c>
      <c r="AC26" s="60" t="str">
        <f>IF(AB26="","",VLOOKUP(AB26,'11. Lists'!$F$36:$H$38,2,FALSE))</f>
        <v/>
      </c>
      <c r="AD26" s="148" t="str">
        <f>IF(AB26="","",VLOOKUP(AB26,'11. Lists'!$F$36:$H$38,3,FALSE))</f>
        <v/>
      </c>
      <c r="AE26" s="312" t="str">
        <f t="shared" si="4"/>
        <v/>
      </c>
      <c r="AF26" s="313" t="str">
        <f t="shared" si="5"/>
        <v/>
      </c>
      <c r="AG26" s="149" t="str">
        <f t="shared" si="6"/>
        <v/>
      </c>
      <c r="AH26" s="503" t="str">
        <f>IF(T26="","",VLOOKUP(T26,'11. Lists'!$B$47:$D$49,3,FALSE))</f>
        <v/>
      </c>
      <c r="AI26" s="535" t="str">
        <f>IF(D26="","",VLOOKUP(D26,'10. Condition and Temporal'!$B$6:$L$103,4,FALSE))</f>
        <v/>
      </c>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row>
    <row r="27" spans="1:128" ht="15.45" customHeight="1" x14ac:dyDescent="0.3">
      <c r="A27" s="97"/>
      <c r="B27" s="286">
        <v>17</v>
      </c>
      <c r="C27" s="283"/>
      <c r="D27" s="811"/>
      <c r="E27" s="812"/>
      <c r="F27" s="813"/>
      <c r="G27" s="814"/>
      <c r="H27" s="815"/>
      <c r="I27" s="319"/>
      <c r="J27" s="320"/>
      <c r="K27" s="321"/>
      <c r="L27" s="315" t="str">
        <f t="shared" si="0"/>
        <v/>
      </c>
      <c r="M27" s="315" t="str">
        <f t="shared" si="1"/>
        <v/>
      </c>
      <c r="N27" s="360" t="str">
        <f t="shared" si="2"/>
        <v/>
      </c>
      <c r="O27" s="131"/>
      <c r="P27" s="81"/>
      <c r="Q27" s="97"/>
      <c r="R27" s="649"/>
      <c r="S27" s="97"/>
      <c r="T27" s="785" t="str">
        <f>IF(C27="","",VLOOKUP(D27,'9. All Habitats + Multipliers'!$C$4:$K$102,5,FALSE))</f>
        <v/>
      </c>
      <c r="U27" s="786"/>
      <c r="V27" s="148" t="str">
        <f>IF(T27="","",VLOOKUP(T27,'11. Lists'!$B$47:$D$49,2,FALSE))</f>
        <v/>
      </c>
      <c r="W27" s="225" t="str">
        <f>IF(C27="","",VLOOKUP(D27,'10. Condition and Temporal'!$B$6:$C$103,2,FALSE))</f>
        <v/>
      </c>
      <c r="X27" s="148" t="str">
        <f>IF(W27="","",VLOOKUP(W27,'11. Lists'!$F$47:$G$51,2,FALSE))</f>
        <v/>
      </c>
      <c r="Y27" s="111"/>
      <c r="Z27" s="111"/>
      <c r="AA27" s="111"/>
      <c r="AB27" s="61" t="str">
        <f t="shared" si="3"/>
        <v/>
      </c>
      <c r="AC27" s="60" t="str">
        <f>IF(AB27="","",VLOOKUP(AB27,'11. Lists'!$F$36:$H$38,2,FALSE))</f>
        <v/>
      </c>
      <c r="AD27" s="148" t="str">
        <f>IF(AB27="","",VLOOKUP(AB27,'11. Lists'!$F$36:$H$38,3,FALSE))</f>
        <v/>
      </c>
      <c r="AE27" s="312" t="str">
        <f t="shared" si="4"/>
        <v/>
      </c>
      <c r="AF27" s="313" t="str">
        <f t="shared" si="5"/>
        <v/>
      </c>
      <c r="AG27" s="149" t="str">
        <f t="shared" si="6"/>
        <v/>
      </c>
      <c r="AH27" s="503" t="str">
        <f>IF(T27="","",VLOOKUP(T27,'11. Lists'!$B$47:$D$49,3,FALSE))</f>
        <v/>
      </c>
      <c r="AI27" s="535" t="str">
        <f>IF(D27="","",VLOOKUP(D27,'10. Condition and Temporal'!$B$6:$L$103,4,FALSE))</f>
        <v/>
      </c>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row>
    <row r="28" spans="1:128" ht="15.45" customHeight="1" x14ac:dyDescent="0.3">
      <c r="A28" s="97"/>
      <c r="B28" s="286">
        <v>18</v>
      </c>
      <c r="C28" s="283"/>
      <c r="D28" s="811"/>
      <c r="E28" s="812"/>
      <c r="F28" s="813"/>
      <c r="G28" s="814"/>
      <c r="H28" s="815"/>
      <c r="I28" s="319"/>
      <c r="J28" s="320"/>
      <c r="K28" s="321"/>
      <c r="L28" s="315" t="str">
        <f t="shared" si="0"/>
        <v/>
      </c>
      <c r="M28" s="315" t="str">
        <f t="shared" si="1"/>
        <v/>
      </c>
      <c r="N28" s="360" t="str">
        <f t="shared" si="2"/>
        <v/>
      </c>
      <c r="O28" s="131"/>
      <c r="P28" s="81"/>
      <c r="Q28" s="97"/>
      <c r="R28" s="649"/>
      <c r="S28" s="97"/>
      <c r="T28" s="785" t="str">
        <f>IF(C28="","",VLOOKUP(D28,'9. All Habitats + Multipliers'!$C$4:$K$102,5,FALSE))</f>
        <v/>
      </c>
      <c r="U28" s="786"/>
      <c r="V28" s="148" t="str">
        <f>IF(T28="","",VLOOKUP(T28,'11. Lists'!$B$47:$D$49,2,FALSE))</f>
        <v/>
      </c>
      <c r="W28" s="225" t="str">
        <f>IF(C28="","",VLOOKUP(D28,'10. Condition and Temporal'!$B$6:$C$103,2,FALSE))</f>
        <v/>
      </c>
      <c r="X28" s="148" t="str">
        <f>IF(W28="","",VLOOKUP(W28,'11. Lists'!$F$47:$G$51,2,FALSE))</f>
        <v/>
      </c>
      <c r="Y28" s="111"/>
      <c r="Z28" s="111"/>
      <c r="AA28" s="111"/>
      <c r="AB28" s="61" t="str">
        <f t="shared" si="3"/>
        <v/>
      </c>
      <c r="AC28" s="60" t="str">
        <f>IF(AB28="","",VLOOKUP(AB28,'11. Lists'!$F$36:$H$38,2,FALSE))</f>
        <v/>
      </c>
      <c r="AD28" s="148" t="str">
        <f>IF(AB28="","",VLOOKUP(AB28,'11. Lists'!$F$36:$H$38,3,FALSE))</f>
        <v/>
      </c>
      <c r="AE28" s="312" t="str">
        <f t="shared" si="4"/>
        <v/>
      </c>
      <c r="AF28" s="313" t="str">
        <f t="shared" si="5"/>
        <v/>
      </c>
      <c r="AG28" s="149" t="str">
        <f t="shared" si="6"/>
        <v/>
      </c>
      <c r="AH28" s="503" t="str">
        <f>IF(T28="","",VLOOKUP(T28,'11. Lists'!$B$47:$D$49,3,FALSE))</f>
        <v/>
      </c>
      <c r="AI28" s="535" t="str">
        <f>IF(D28="","",VLOOKUP(D28,'10. Condition and Temporal'!$B$6:$L$103,4,FALSE))</f>
        <v/>
      </c>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row>
    <row r="29" spans="1:128" ht="15.45" customHeight="1" x14ac:dyDescent="0.3">
      <c r="A29" s="97"/>
      <c r="B29" s="286">
        <v>19</v>
      </c>
      <c r="C29" s="283"/>
      <c r="D29" s="811"/>
      <c r="E29" s="812"/>
      <c r="F29" s="813"/>
      <c r="G29" s="814"/>
      <c r="H29" s="815"/>
      <c r="I29" s="319"/>
      <c r="J29" s="320"/>
      <c r="K29" s="321"/>
      <c r="L29" s="315" t="str">
        <f t="shared" si="0"/>
        <v/>
      </c>
      <c r="M29" s="315" t="str">
        <f t="shared" si="1"/>
        <v/>
      </c>
      <c r="N29" s="360" t="str">
        <f t="shared" si="2"/>
        <v/>
      </c>
      <c r="O29" s="131"/>
      <c r="P29" s="81"/>
      <c r="Q29" s="97"/>
      <c r="R29" s="649"/>
      <c r="S29" s="97"/>
      <c r="T29" s="785" t="str">
        <f>IF(C29="","",VLOOKUP(D29,'9. All Habitats + Multipliers'!$C$4:$K$102,5,FALSE))</f>
        <v/>
      </c>
      <c r="U29" s="786"/>
      <c r="V29" s="148" t="str">
        <f>IF(T29="","",VLOOKUP(T29,'11. Lists'!$B$47:$D$49,2,FALSE))</f>
        <v/>
      </c>
      <c r="W29" s="225" t="str">
        <f>IF(C29="","",VLOOKUP(D29,'10. Condition and Temporal'!$B$6:$C$103,2,FALSE))</f>
        <v/>
      </c>
      <c r="X29" s="148" t="str">
        <f>IF(W29="","",VLOOKUP(W29,'11. Lists'!$F$47:$G$51,2,FALSE))</f>
        <v/>
      </c>
      <c r="Y29" s="111"/>
      <c r="Z29" s="111"/>
      <c r="AA29" s="111"/>
      <c r="AB29" s="61" t="str">
        <f t="shared" si="3"/>
        <v/>
      </c>
      <c r="AC29" s="60" t="str">
        <f>IF(AB29="","",VLOOKUP(AB29,'11. Lists'!$F$36:$H$38,2,FALSE))</f>
        <v/>
      </c>
      <c r="AD29" s="148" t="str">
        <f>IF(AB29="","",VLOOKUP(AB29,'11. Lists'!$F$36:$H$38,3,FALSE))</f>
        <v/>
      </c>
      <c r="AE29" s="312" t="str">
        <f t="shared" si="4"/>
        <v/>
      </c>
      <c r="AF29" s="313" t="str">
        <f t="shared" si="5"/>
        <v/>
      </c>
      <c r="AG29" s="149" t="str">
        <f t="shared" si="6"/>
        <v/>
      </c>
      <c r="AH29" s="503" t="str">
        <f>IF(T29="","",VLOOKUP(T29,'11. Lists'!$B$47:$D$49,3,FALSE))</f>
        <v/>
      </c>
      <c r="AI29" s="535" t="str">
        <f>IF(D29="","",VLOOKUP(D29,'10. Condition and Temporal'!$B$6:$L$103,4,FALSE))</f>
        <v/>
      </c>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row>
    <row r="30" spans="1:128" ht="16.2" customHeight="1" x14ac:dyDescent="0.3">
      <c r="A30" s="97"/>
      <c r="B30" s="287">
        <v>20</v>
      </c>
      <c r="C30" s="282"/>
      <c r="D30" s="816"/>
      <c r="E30" s="817"/>
      <c r="F30" s="813"/>
      <c r="G30" s="814"/>
      <c r="H30" s="815"/>
      <c r="I30" s="319"/>
      <c r="J30" s="320"/>
      <c r="K30" s="321"/>
      <c r="L30" s="408" t="str">
        <f t="shared" si="0"/>
        <v/>
      </c>
      <c r="M30" s="408" t="str">
        <f t="shared" si="1"/>
        <v/>
      </c>
      <c r="N30" s="409" t="str">
        <f t="shared" si="2"/>
        <v/>
      </c>
      <c r="O30" s="132"/>
      <c r="P30" s="78"/>
      <c r="Q30" s="97"/>
      <c r="R30" s="649"/>
      <c r="S30" s="97"/>
      <c r="T30" s="785" t="str">
        <f>IF(C30="","",VLOOKUP(D30,'9. All Habitats + Multipliers'!$C$4:$K$102,5,FALSE))</f>
        <v/>
      </c>
      <c r="U30" s="786"/>
      <c r="V30" s="148" t="str">
        <f>IF(T30="","",VLOOKUP(T30,'11. Lists'!$B$47:$D$49,2,FALSE))</f>
        <v/>
      </c>
      <c r="W30" s="225" t="str">
        <f>IF(C30="","",VLOOKUP(D30,'10. Condition and Temporal'!$B$6:$C$103,2,FALSE))</f>
        <v/>
      </c>
      <c r="X30" s="148" t="str">
        <f>IF(W30="","",VLOOKUP(W30,'11. Lists'!$F$47:$G$51,2,FALSE))</f>
        <v/>
      </c>
      <c r="Y30" s="111"/>
      <c r="Z30" s="111"/>
      <c r="AA30" s="111"/>
      <c r="AB30" s="61" t="str">
        <f t="shared" si="3"/>
        <v/>
      </c>
      <c r="AC30" s="60" t="str">
        <f>IF(AB30="","",VLOOKUP(AB30,'11. Lists'!$F$36:$H$38,2,FALSE))</f>
        <v/>
      </c>
      <c r="AD30" s="148" t="str">
        <f>IF(AB30="","",VLOOKUP(AB30,'11. Lists'!$F$36:$H$38,3,FALSE))</f>
        <v/>
      </c>
      <c r="AE30" s="312" t="str">
        <f t="shared" si="4"/>
        <v/>
      </c>
      <c r="AF30" s="313" t="str">
        <f t="shared" si="5"/>
        <v/>
      </c>
      <c r="AG30" s="149" t="str">
        <f t="shared" si="6"/>
        <v/>
      </c>
      <c r="AH30" s="503" t="str">
        <f>IF(T30="","",VLOOKUP(T30,'11. Lists'!$B$47:$D$49,3,FALSE))</f>
        <v/>
      </c>
      <c r="AI30" s="535" t="str">
        <f>IF(D30="","",VLOOKUP(D30,'10. Condition and Temporal'!$B$6:$L$103,4,FALSE))</f>
        <v/>
      </c>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row>
    <row r="31" spans="1:128" ht="29.55" customHeight="1" x14ac:dyDescent="0.3">
      <c r="A31" s="97"/>
      <c r="B31" s="287" t="s">
        <v>103</v>
      </c>
      <c r="C31" s="150" t="s">
        <v>104</v>
      </c>
      <c r="D31" s="841" t="s">
        <v>105</v>
      </c>
      <c r="E31" s="788"/>
      <c r="F31" s="842" t="s">
        <v>106</v>
      </c>
      <c r="G31" s="843"/>
      <c r="H31" s="844"/>
      <c r="I31" s="338">
        <f>I99</f>
        <v>0</v>
      </c>
      <c r="J31" s="339">
        <f>L99</f>
        <v>0</v>
      </c>
      <c r="K31" s="424"/>
      <c r="L31" s="404">
        <f>IF(C31="","",((I31/10000)*V31*X31)*AD31)</f>
        <v>0</v>
      </c>
      <c r="M31" s="410">
        <f>IF(C31="","",I31-J31-K31)</f>
        <v>0</v>
      </c>
      <c r="N31" s="411">
        <f>IF(C31="","",((M31/10000)*V31*X31)*AD31)</f>
        <v>0</v>
      </c>
      <c r="O31" s="86"/>
      <c r="P31" s="87"/>
      <c r="Q31" s="97"/>
      <c r="R31" s="649"/>
      <c r="S31" s="97"/>
      <c r="T31" s="794" t="str">
        <f>IF(C31="","",VLOOKUP(D31,'9. All Habitats + Multipliers'!$C$4:$K$102,5,FALSE))</f>
        <v>Medium</v>
      </c>
      <c r="U31" s="795"/>
      <c r="V31" s="151">
        <f>IF(T31="","",VLOOKUP(T31,'11. Lists'!$B$47:$D$49,2,FALSE))</f>
        <v>4</v>
      </c>
      <c r="W31" s="352" t="str">
        <f>IF(C31="","",VLOOKUP(D31,'10. Condition and Temporal'!$B$6:$C$103,2,FALSE))</f>
        <v>Moderate</v>
      </c>
      <c r="X31" s="151">
        <f>IF(W31="","",VLOOKUP(W31,'11. Lists'!$F$47:$G$51,2,FALSE))</f>
        <v>2</v>
      </c>
      <c r="Y31" s="111"/>
      <c r="Z31" s="111"/>
      <c r="AA31" s="111"/>
      <c r="AB31" s="57" t="str">
        <f t="shared" si="3"/>
        <v>Formally identified in local strategy</v>
      </c>
      <c r="AC31" s="56" t="str">
        <f>IF(AB31="","",VLOOKUP(AB31,'11. Lists'!$F$36:$H$38,2,FALSE))</f>
        <v xml:space="preserve">High strategic significance </v>
      </c>
      <c r="AD31" s="151">
        <f>IF(AB31="","",VLOOKUP(AB31,'11. Lists'!$F$36:$H$38,3,FALSE))</f>
        <v>1.1499999999999999</v>
      </c>
      <c r="AE31" s="534">
        <f>IF(D31="","",((J31/10000)*V31*X31)*(AD31))</f>
        <v>0</v>
      </c>
      <c r="AF31" s="152">
        <f>IF(D31="","",((K31/10000)*V31*X31)*(AD31))</f>
        <v>0</v>
      </c>
      <c r="AG31" s="153">
        <f t="shared" si="6"/>
        <v>0</v>
      </c>
      <c r="AH31" s="504" t="str">
        <f>IF(T31="","",VLOOKUP(T31,'11. Lists'!$B$47:$D$49,3,FALSE))</f>
        <v>Same broad habitat or a higher distinctiveness habitat required</v>
      </c>
      <c r="AI31" s="535" t="str">
        <f>IF(D31="","",VLOOKUP(D31,'10. Condition and Temporal'!$B$6:$L$103,4,FALSE))</f>
        <v>Urban/rural tree</v>
      </c>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row>
    <row r="32" spans="1:128" s="97" customFormat="1" ht="15" customHeight="1" x14ac:dyDescent="0.3">
      <c r="D32" s="147"/>
      <c r="E32" s="32"/>
      <c r="F32" s="32"/>
      <c r="G32" s="32"/>
      <c r="H32" s="17" t="s">
        <v>107</v>
      </c>
      <c r="I32" s="340">
        <f>SUMIFS(I11:I30,D11:D30,"&lt;&gt;"&amp;'11. Lists'!Q10,D11:D30,"&lt;&gt;"&amp;'11. Lists'!Q11,D11:D30,"&lt;&gt;"&amp;'11. Lists'!I4,D11:D30,"&lt;&gt;"&amp;'11. Lists'!I2,D11:D30,"&lt;&gt;"&amp;'11. Lists'!I3)</f>
        <v>181.41</v>
      </c>
      <c r="J32" s="341">
        <f>SUMIFS(J11:J30,D11:D30,"&lt;&gt;"&amp;'11. Lists'!Q10,D11:D30,"&lt;&gt;"&amp;'11. Lists'!Q11,D11:D30,"&lt;&gt;"&amp;'11. Lists'!I4,D11:D30,"&lt;&gt;"&amp;'11. Lists'!I2,D11:D30,"&lt;&gt;"&amp;'11. Lists'!I3)</f>
        <v>0</v>
      </c>
      <c r="K32" s="342">
        <f>SUMIFS(K11:K30,D11:D30,"&lt;&gt;"&amp;'11. Lists'!Q10,D11:D30,"&lt;&gt;"&amp;'11. Lists'!Q11,D11:D30,"&lt;&gt;"&amp;'11. Lists'!I4,D11:D30,"&lt;&gt;"&amp;'11. Lists'!I2,D11:D30,"&lt;&gt;"&amp;'11. Lists'!I3)</f>
        <v>0</v>
      </c>
      <c r="L32" s="301">
        <f>SUM(L11:L31)</f>
        <v>2.9237599999999996E-3</v>
      </c>
      <c r="M32" s="333">
        <f>SUMIFS(M11:M30,D11:D30,"&lt;&gt;"&amp;'11. Lists'!Q10,D11:D30,"&lt;&gt;"&amp;'11. Lists'!Q11,D11:D30,"&lt;&gt;"&amp;'11. Lists'!I4,D11:D30,"&lt;&gt;"&amp;'11. Lists'!I2,D11:D30,"&lt;&gt;"&amp;'11. Lists'!I3)</f>
        <v>181.41</v>
      </c>
      <c r="N32" s="302">
        <f>SUM(N11:N31)</f>
        <v>2.9237599999999996E-3</v>
      </c>
      <c r="R32" s="649"/>
    </row>
    <row r="33" spans="2:34" s="97" customFormat="1" x14ac:dyDescent="0.3">
      <c r="D33" s="147"/>
      <c r="E33" s="32"/>
      <c r="F33" s="32"/>
      <c r="G33" s="32"/>
      <c r="H33" s="303" t="s">
        <v>108</v>
      </c>
      <c r="I33" s="818" t="str">
        <f>IF(I32=0, "Areas Acceptable ✓", IF(AND('3. Desktop Assessment'!C6="Residential", I32&lt;10000, '3. Desktop Assessment'!C9="Between 1 - 9 dwellings"),"Areas Acceptable ✓", IF(AND('3. Desktop Assessment'!C6="Residential", I32&lt;5000, '3. Desktop Assessment'!C9="Unknown number"), "Areas Acceptable ✓", IF(AND('3. Desktop Assessment'!C6="Commercial", I32&lt;10000, '3. Desktop Assessment'!C8&lt;1000),"Areas Acceptable ✓", IF(AND('3. Desktop Assessment'!C6="Mixed", I32&lt;10000, '3. Desktop Assessment'!C9="Between 1 - 9 dwellings",  '3. Desktop Assessment'!C8&lt;1000),"Areas Acceptable ✓", IF(AND('3. Desktop Assessment'!C6="Mixed", I32&lt;5000, '3. Desktop Assessment'!C9="Unknown number",  '3. Desktop Assessment'!C8&lt;1000), "Areas Acceptable ✓", IF(AND('3. Desktop Assessment'!C6="Other", I32&lt;10000),"Areas Acceptable ✓", "Error - Site exceeds areas appropriate for the small sites metric ▲")))))))</f>
        <v>Areas Acceptable ✓</v>
      </c>
      <c r="J33" s="818"/>
      <c r="K33" s="818"/>
      <c r="L33" s="818"/>
      <c r="M33" s="818"/>
      <c r="N33" s="819"/>
      <c r="O33" s="200">
        <f>IFERROR(FIND("Error",I33),0)</f>
        <v>0</v>
      </c>
      <c r="R33" s="72"/>
    </row>
    <row r="34" spans="2:34" s="97" customFormat="1" x14ac:dyDescent="0.3">
      <c r="D34" s="147"/>
      <c r="E34" s="32"/>
      <c r="F34" s="32"/>
      <c r="G34" s="32"/>
      <c r="H34" s="304" t="s">
        <v>109</v>
      </c>
      <c r="I34" s="820" t="str">
        <f>IF(I32&lt;J32+K32,"Error - Areas Retained and Enhanced Exceed Total Area ▲","Areas Acceptable ✓")</f>
        <v>Areas Acceptable ✓</v>
      </c>
      <c r="J34" s="820"/>
      <c r="K34" s="820"/>
      <c r="L34" s="820"/>
      <c r="M34" s="820"/>
      <c r="N34" s="821"/>
      <c r="O34" s="200">
        <f>IFERROR(FIND("Error",I34),0)</f>
        <v>0</v>
      </c>
      <c r="R34" s="72"/>
    </row>
    <row r="35" spans="2:34" s="97" customFormat="1" ht="15" customHeight="1" x14ac:dyDescent="0.3">
      <c r="D35" s="147"/>
      <c r="E35" s="32"/>
      <c r="F35" s="32"/>
      <c r="G35" s="32"/>
      <c r="H35" s="294" t="s">
        <v>110</v>
      </c>
      <c r="I35" s="802" t="str">
        <f>IF(I32=0,"Areas Acceptable ✓",IF(I32&lt;&gt;'3. Desktop Assessment'!C7,"Error - Areas Entered Does Not Match Stated Site Area ▲","Areas Acceptable ✓"))</f>
        <v>Areas Acceptable ✓</v>
      </c>
      <c r="J35" s="802"/>
      <c r="K35" s="802"/>
      <c r="L35" s="802"/>
      <c r="M35" s="802"/>
      <c r="N35" s="803"/>
      <c r="O35" s="200">
        <f>IFERROR(FIND("Error",I35),0)</f>
        <v>0</v>
      </c>
      <c r="R35" s="649" t="s">
        <v>66</v>
      </c>
    </row>
    <row r="36" spans="2:34" s="97" customFormat="1" ht="21" customHeight="1" x14ac:dyDescent="0.4">
      <c r="B36" s="119" t="s">
        <v>111</v>
      </c>
      <c r="D36" s="146"/>
      <c r="E36" s="32"/>
      <c r="F36" s="32"/>
      <c r="G36" s="32"/>
      <c r="I36" s="98"/>
      <c r="O36" s="200">
        <f>COUNTIF(L11:N30,"*"&amp;"error"&amp;"*")</f>
        <v>0</v>
      </c>
      <c r="R36" s="649"/>
    </row>
    <row r="37" spans="2:34" s="97" customFormat="1" ht="15.75" customHeight="1" x14ac:dyDescent="0.3">
      <c r="R37" s="649"/>
    </row>
    <row r="38" spans="2:34" s="97" customFormat="1" ht="16.2" customHeight="1" x14ac:dyDescent="0.3">
      <c r="B38" s="804" t="s">
        <v>59</v>
      </c>
      <c r="C38" s="766"/>
      <c r="D38" s="805"/>
      <c r="E38" s="765" t="s">
        <v>112</v>
      </c>
      <c r="F38" s="806"/>
      <c r="G38" s="767"/>
      <c r="H38" s="806" t="s">
        <v>113</v>
      </c>
      <c r="I38" s="715" t="s">
        <v>114</v>
      </c>
      <c r="J38" s="807"/>
      <c r="K38" s="716"/>
      <c r="L38" s="809" t="s">
        <v>115</v>
      </c>
      <c r="M38" s="766"/>
      <c r="N38" s="805"/>
      <c r="O38" s="765" t="s">
        <v>79</v>
      </c>
      <c r="P38" s="767"/>
      <c r="R38" s="649"/>
      <c r="T38" s="763" t="s">
        <v>80</v>
      </c>
      <c r="U38" s="773"/>
      <c r="V38" s="764"/>
      <c r="W38" s="796" t="s">
        <v>81</v>
      </c>
      <c r="X38" s="764"/>
      <c r="Y38" s="797"/>
      <c r="Z38" s="797"/>
      <c r="AA38" s="797"/>
      <c r="AB38" s="763" t="s">
        <v>82</v>
      </c>
      <c r="AC38" s="773"/>
      <c r="AD38" s="764"/>
      <c r="AE38" s="763" t="s">
        <v>116</v>
      </c>
      <c r="AF38" s="764"/>
      <c r="AG38" s="763" t="s">
        <v>117</v>
      </c>
      <c r="AH38" s="764"/>
    </row>
    <row r="39" spans="2:34" s="97" customFormat="1" ht="31.8" customHeight="1" x14ac:dyDescent="0.3">
      <c r="B39" s="728"/>
      <c r="C39" s="54" t="s">
        <v>86</v>
      </c>
      <c r="D39" s="53" t="s">
        <v>118</v>
      </c>
      <c r="E39" s="144" t="s">
        <v>119</v>
      </c>
      <c r="F39" s="731" t="s">
        <v>120</v>
      </c>
      <c r="G39" s="732"/>
      <c r="H39" s="729"/>
      <c r="I39" s="717"/>
      <c r="J39" s="808"/>
      <c r="K39" s="718"/>
      <c r="L39" s="730"/>
      <c r="M39" s="810"/>
      <c r="N39" s="731"/>
      <c r="O39" s="144" t="s">
        <v>94</v>
      </c>
      <c r="P39" s="42" t="s">
        <v>95</v>
      </c>
      <c r="R39" s="649"/>
      <c r="T39" s="798" t="s">
        <v>96</v>
      </c>
      <c r="U39" s="799"/>
      <c r="V39" s="43" t="s">
        <v>97</v>
      </c>
      <c r="W39" s="8" t="s">
        <v>98</v>
      </c>
      <c r="X39" s="43" t="s">
        <v>97</v>
      </c>
      <c r="Y39" s="66"/>
      <c r="Z39" s="66"/>
      <c r="AA39" s="66"/>
      <c r="AB39" s="65" t="s">
        <v>82</v>
      </c>
      <c r="AC39" s="64" t="s">
        <v>82</v>
      </c>
      <c r="AD39" s="43" t="s">
        <v>99</v>
      </c>
      <c r="AE39" s="65" t="s">
        <v>121</v>
      </c>
      <c r="AF39" s="43" t="s">
        <v>122</v>
      </c>
      <c r="AG39" s="65" t="s">
        <v>123</v>
      </c>
      <c r="AH39" s="43" t="s">
        <v>124</v>
      </c>
    </row>
    <row r="40" spans="2:34" s="97" customFormat="1" ht="15.45" customHeight="1" x14ac:dyDescent="0.3">
      <c r="B40" s="285">
        <v>1</v>
      </c>
      <c r="C40" s="135" t="s">
        <v>223</v>
      </c>
      <c r="D40" s="63" t="s">
        <v>358</v>
      </c>
      <c r="E40" s="349" t="str">
        <f>IF(D40="","",VLOOKUP(D40,'10. Condition and Temporal'!$B$6:$D$103,3,FALSE))</f>
        <v>N/A - Other</v>
      </c>
      <c r="F40" s="800" t="s">
        <v>401</v>
      </c>
      <c r="G40" s="801"/>
      <c r="H40" s="62" t="s">
        <v>126</v>
      </c>
      <c r="I40" s="780">
        <v>37.4221</v>
      </c>
      <c r="J40" s="781"/>
      <c r="K40" s="782"/>
      <c r="L40" s="783">
        <f t="shared" ref="L40:L59" si="7">IF(C40="","",IFERROR(IF(I40="","",((I40/10000)*(V40*X40))*(AH40*AF40)*AD40),"This intervention is not permitted within the SSM ▲"))</f>
        <v>0</v>
      </c>
      <c r="M40" s="737"/>
      <c r="N40" s="784"/>
      <c r="O40" s="76"/>
      <c r="P40" s="75"/>
      <c r="Q40" s="155"/>
      <c r="R40" s="649"/>
      <c r="T40" s="785" t="str">
        <f>IF(C40="","",VLOOKUP(D40,'9. All Habitats + Multipliers'!$C$4:$K$102,5,FALSE))</f>
        <v>V.Low</v>
      </c>
      <c r="U40" s="786"/>
      <c r="V40" s="148">
        <f>IF(T40="","",VLOOKUP(T40,'11. Lists'!$B$47:$D$49,2,FALSE))</f>
        <v>0</v>
      </c>
      <c r="W40" s="225" t="str">
        <f t="shared" ref="W40:W60" si="8">IF(F40="","",F40)</f>
        <v>N/A - Other</v>
      </c>
      <c r="X40" s="148">
        <f>IF(W40="","",VLOOKUP(W40,'11. Lists'!$F$47:$G$51,2,FALSE))</f>
        <v>0</v>
      </c>
      <c r="Y40" s="111"/>
      <c r="Z40" s="111"/>
      <c r="AA40" s="111"/>
      <c r="AB40" s="61" t="str">
        <f t="shared" ref="AB40:AB60" si="9">IF(H40="","",H40)</f>
        <v>Area/compensation not in local strategy/ no local strategy</v>
      </c>
      <c r="AC40" s="60" t="str">
        <f>IF(AB40="","",VLOOKUP(AB40,'11. Lists'!$F$36:$H$38,2,FALSE))</f>
        <v>Low Strategic Significance</v>
      </c>
      <c r="AD40" s="148">
        <f>IF(AB40="","",VLOOKUP(AB40,'11. Lists'!$F$36:$H$38,3,FALSE))</f>
        <v>1</v>
      </c>
      <c r="AE40" s="61">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0</v>
      </c>
      <c r="AF40" s="156">
        <f>IF(AE40="","",VLOOKUP(AE40,'11. Lists'!$I$47:$K$80,3,FALSE))</f>
        <v>1</v>
      </c>
      <c r="AG40" s="61" t="str">
        <f>IF(D40="","",VLOOKUP(D40,'9. All Habitats + Multipliers'!$C$4:$K$102,7,FALSE))</f>
        <v>Low</v>
      </c>
      <c r="AH40" s="148">
        <f>IF(AG40="","",VLOOKUP(AG40,'11. Lists'!$J$35:$K$38,2,FALSE))</f>
        <v>1</v>
      </c>
    </row>
    <row r="41" spans="2:34" s="97" customFormat="1" ht="15.45" customHeight="1" x14ac:dyDescent="0.3">
      <c r="B41" s="286">
        <v>2</v>
      </c>
      <c r="C41" s="136" t="s">
        <v>223</v>
      </c>
      <c r="D41" s="63" t="s">
        <v>348</v>
      </c>
      <c r="E41" s="349" t="str">
        <f>IF(D41="","",VLOOKUP(D41,'10. Condition and Temporal'!$B$6:$D$103,3,FALSE))</f>
        <v>N/A - Other</v>
      </c>
      <c r="F41" s="778" t="s">
        <v>401</v>
      </c>
      <c r="G41" s="779"/>
      <c r="H41" s="39" t="s">
        <v>126</v>
      </c>
      <c r="I41" s="780">
        <v>143.9879</v>
      </c>
      <c r="J41" s="781"/>
      <c r="K41" s="782"/>
      <c r="L41" s="783">
        <f t="shared" si="7"/>
        <v>0</v>
      </c>
      <c r="M41" s="737"/>
      <c r="N41" s="784"/>
      <c r="O41" s="123"/>
      <c r="P41" s="85"/>
      <c r="Q41" s="155"/>
      <c r="R41" s="649"/>
      <c r="T41" s="785" t="str">
        <f>IF(C41="","",VLOOKUP(D41,'9. All Habitats + Multipliers'!$C$4:$K$102,5,FALSE))</f>
        <v>V.Low</v>
      </c>
      <c r="U41" s="786"/>
      <c r="V41" s="148">
        <f>IF(T41="","",VLOOKUP(T41,'11. Lists'!$B$47:$D$49,2,FALSE))</f>
        <v>0</v>
      </c>
      <c r="W41" s="225" t="str">
        <f t="shared" si="8"/>
        <v>N/A - Other</v>
      </c>
      <c r="X41" s="148">
        <f>IF(W41="","",VLOOKUP(W41,'11. Lists'!$F$47:$G$51,2,FALSE))</f>
        <v>0</v>
      </c>
      <c r="Y41" s="111"/>
      <c r="Z41" s="111"/>
      <c r="AA41" s="111"/>
      <c r="AB41" s="61" t="str">
        <f t="shared" si="9"/>
        <v>Area/compensation not in local strategy/ no local strategy</v>
      </c>
      <c r="AC41" s="60" t="str">
        <f>IF(AB41="","",VLOOKUP(AB41,'11. Lists'!$F$36:$H$38,2,FALSE))</f>
        <v>Low Strategic Significance</v>
      </c>
      <c r="AD41" s="148">
        <f>IF(AB41="","",VLOOKUP(AB41,'11. Lists'!$F$36:$H$38,3,FALSE))</f>
        <v>1</v>
      </c>
      <c r="AE41" s="61">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0</v>
      </c>
      <c r="AF41" s="156">
        <f>IF(AE41="","",VLOOKUP(AE41,'11. Lists'!$I$47:$K$80,3,FALSE))</f>
        <v>1</v>
      </c>
      <c r="AG41" s="61" t="str">
        <f>IF(D41="","",VLOOKUP(D41,'9. All Habitats + Multipliers'!$C$4:$K$102,7,FALSE))</f>
        <v>Low</v>
      </c>
      <c r="AH41" s="148">
        <f>IF(AG41="","",VLOOKUP(AG41,'11. Lists'!$J$35:$K$38,2,FALSE))</f>
        <v>1</v>
      </c>
    </row>
    <row r="42" spans="2:34" s="97" customFormat="1" ht="15.45" customHeight="1" x14ac:dyDescent="0.3">
      <c r="B42" s="286">
        <v>3</v>
      </c>
      <c r="C42" s="136"/>
      <c r="D42" s="63"/>
      <c r="E42" s="349" t="str">
        <f>IF(D42="","",VLOOKUP(D42,'10. Condition and Temporal'!$B$6:$D$103,3,FALSE))</f>
        <v/>
      </c>
      <c r="F42" s="778"/>
      <c r="G42" s="779"/>
      <c r="H42" s="39"/>
      <c r="I42" s="780"/>
      <c r="J42" s="781"/>
      <c r="K42" s="782"/>
      <c r="L42" s="783" t="str">
        <f t="shared" si="7"/>
        <v/>
      </c>
      <c r="M42" s="737"/>
      <c r="N42" s="784"/>
      <c r="O42" s="123"/>
      <c r="P42" s="85"/>
      <c r="Q42" s="155"/>
      <c r="R42" s="649"/>
      <c r="T42" s="785" t="str">
        <f>IF(C42="","",VLOOKUP(D42,'9. All Habitats + Multipliers'!$C$4:$K$102,5,FALSE))</f>
        <v/>
      </c>
      <c r="U42" s="786"/>
      <c r="V42" s="148" t="str">
        <f>IF(T42="","",VLOOKUP(T42,'11. Lists'!$B$47:$D$49,2,FALSE))</f>
        <v/>
      </c>
      <c r="W42" s="225" t="str">
        <f t="shared" si="8"/>
        <v/>
      </c>
      <c r="X42" s="148" t="str">
        <f>IF(W42="","",VLOOKUP(W42,'11. Lists'!$F$47:$G$51,2,FALSE))</f>
        <v/>
      </c>
      <c r="Y42" s="111"/>
      <c r="Z42" s="111"/>
      <c r="AA42" s="111"/>
      <c r="AB42" s="61" t="str">
        <f t="shared" si="9"/>
        <v/>
      </c>
      <c r="AC42" s="60" t="str">
        <f>IF(AB42="","",VLOOKUP(AB42,'11. Lists'!$F$36:$H$38,2,FALSE))</f>
        <v/>
      </c>
      <c r="AD42" s="148" t="str">
        <f>IF(AB42="","",VLOOKUP(AB42,'11. Lists'!$F$36:$H$38,3,FALSE))</f>
        <v/>
      </c>
      <c r="AE42" s="61"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56" t="str">
        <f>IF(AE42="","",VLOOKUP(AE42,'11. Lists'!$I$47:$K$80,3,FALSE))</f>
        <v/>
      </c>
      <c r="AG42" s="61" t="str">
        <f>IF(D42="","",VLOOKUP(D42,'9. All Habitats + Multipliers'!$C$4:$K$102,7,FALSE))</f>
        <v/>
      </c>
      <c r="AH42" s="148" t="str">
        <f>IF(AG42="","",VLOOKUP(AG42,'11. Lists'!$J$35:$K$38,2,FALSE))</f>
        <v/>
      </c>
    </row>
    <row r="43" spans="2:34" s="97" customFormat="1" ht="15.45" customHeight="1" x14ac:dyDescent="0.3">
      <c r="B43" s="286">
        <v>4</v>
      </c>
      <c r="C43" s="136"/>
      <c r="D43" s="63"/>
      <c r="E43" s="349" t="str">
        <f>IF(D43="","",VLOOKUP(D43,'10. Condition and Temporal'!$B$6:$D$103,3,FALSE))</f>
        <v/>
      </c>
      <c r="F43" s="778"/>
      <c r="G43" s="779"/>
      <c r="H43" s="39"/>
      <c r="I43" s="780"/>
      <c r="J43" s="781"/>
      <c r="K43" s="782"/>
      <c r="L43" s="783" t="str">
        <f t="shared" si="7"/>
        <v/>
      </c>
      <c r="M43" s="737"/>
      <c r="N43" s="784"/>
      <c r="O43" s="123"/>
      <c r="P43" s="85"/>
      <c r="Q43" s="155"/>
      <c r="R43" s="649"/>
      <c r="T43" s="785" t="str">
        <f>IF(C43="","",VLOOKUP(D43,'9. All Habitats + Multipliers'!$C$4:$K$102,5,FALSE))</f>
        <v/>
      </c>
      <c r="U43" s="786"/>
      <c r="V43" s="148" t="str">
        <f>IF(T43="","",VLOOKUP(T43,'11. Lists'!$B$47:$D$49,2,FALSE))</f>
        <v/>
      </c>
      <c r="W43" s="225" t="str">
        <f t="shared" si="8"/>
        <v/>
      </c>
      <c r="X43" s="148" t="str">
        <f>IF(W43="","",VLOOKUP(W43,'11. Lists'!$F$47:$G$51,2,FALSE))</f>
        <v/>
      </c>
      <c r="Y43" s="111"/>
      <c r="Z43" s="111"/>
      <c r="AA43" s="111"/>
      <c r="AB43" s="61" t="str">
        <f t="shared" si="9"/>
        <v/>
      </c>
      <c r="AC43" s="60" t="str">
        <f>IF(AB43="","",VLOOKUP(AB43,'11. Lists'!$F$36:$H$38,2,FALSE))</f>
        <v/>
      </c>
      <c r="AD43" s="148" t="str">
        <f>IF(AB43="","",VLOOKUP(AB43,'11. Lists'!$F$36:$H$38,3,FALSE))</f>
        <v/>
      </c>
      <c r="AE43" s="61"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56" t="str">
        <f>IF(AE43="","",VLOOKUP(AE43,'11. Lists'!$I$47:$K$80,3,FALSE))</f>
        <v/>
      </c>
      <c r="AG43" s="61" t="str">
        <f>IF(D43="","",VLOOKUP(D43,'9. All Habitats + Multipliers'!$C$4:$K$102,7,FALSE))</f>
        <v/>
      </c>
      <c r="AH43" s="148" t="str">
        <f>IF(AG43="","",VLOOKUP(AG43,'11. Lists'!$J$35:$K$38,2,FALSE))</f>
        <v/>
      </c>
    </row>
    <row r="44" spans="2:34" s="97" customFormat="1" ht="15.45" customHeight="1" x14ac:dyDescent="0.3">
      <c r="B44" s="286">
        <v>5</v>
      </c>
      <c r="C44" s="136"/>
      <c r="D44" s="63"/>
      <c r="E44" s="349" t="str">
        <f>IF(D44="","",VLOOKUP(D44,'10. Condition and Temporal'!$B$6:$D$103,3,FALSE))</f>
        <v/>
      </c>
      <c r="F44" s="778"/>
      <c r="G44" s="779"/>
      <c r="H44" s="39"/>
      <c r="I44" s="780"/>
      <c r="J44" s="781"/>
      <c r="K44" s="782"/>
      <c r="L44" s="783" t="str">
        <f t="shared" si="7"/>
        <v/>
      </c>
      <c r="M44" s="737"/>
      <c r="N44" s="784"/>
      <c r="O44" s="123"/>
      <c r="P44" s="85"/>
      <c r="R44" s="649"/>
      <c r="T44" s="785" t="str">
        <f>IF(C44="","",VLOOKUP(D44,'9. All Habitats + Multipliers'!$C$4:$K$102,5,FALSE))</f>
        <v/>
      </c>
      <c r="U44" s="786"/>
      <c r="V44" s="148" t="str">
        <f>IF(T44="","",VLOOKUP(T44,'11. Lists'!$B$47:$D$49,2,FALSE))</f>
        <v/>
      </c>
      <c r="W44" s="225" t="str">
        <f t="shared" si="8"/>
        <v/>
      </c>
      <c r="X44" s="148" t="str">
        <f>IF(W44="","",VLOOKUP(W44,'11. Lists'!$F$47:$G$51,2,FALSE))</f>
        <v/>
      </c>
      <c r="Y44" s="111"/>
      <c r="Z44" s="111"/>
      <c r="AA44" s="111"/>
      <c r="AB44" s="61" t="str">
        <f t="shared" si="9"/>
        <v/>
      </c>
      <c r="AC44" s="60" t="str">
        <f>IF(AB44="","",VLOOKUP(AB44,'11. Lists'!$F$36:$H$38,2,FALSE))</f>
        <v/>
      </c>
      <c r="AD44" s="148" t="str">
        <f>IF(AB44="","",VLOOKUP(AB44,'11. Lists'!$F$36:$H$38,3,FALSE))</f>
        <v/>
      </c>
      <c r="AE44" s="61"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56" t="str">
        <f>IF(AE44="","",VLOOKUP(AE44,'11. Lists'!$I$47:$K$80,3,FALSE))</f>
        <v/>
      </c>
      <c r="AG44" s="61" t="str">
        <f>IF(D44="","",VLOOKUP(D44,'9. All Habitats + Multipliers'!$C$4:$K$102,7,FALSE))</f>
        <v/>
      </c>
      <c r="AH44" s="148" t="str">
        <f>IF(AG44="","",VLOOKUP(AG44,'11. Lists'!$J$35:$K$38,2,FALSE))</f>
        <v/>
      </c>
    </row>
    <row r="45" spans="2:34" s="97" customFormat="1" ht="15.45" customHeight="1" x14ac:dyDescent="0.3">
      <c r="B45" s="286">
        <v>6</v>
      </c>
      <c r="C45" s="136"/>
      <c r="D45" s="63"/>
      <c r="E45" s="349" t="str">
        <f>IF(D45="","",VLOOKUP(D45,'10. Condition and Temporal'!$B$6:$D$103,3,FALSE))</f>
        <v/>
      </c>
      <c r="F45" s="778"/>
      <c r="G45" s="779"/>
      <c r="H45" s="39"/>
      <c r="I45" s="780"/>
      <c r="J45" s="781"/>
      <c r="K45" s="782"/>
      <c r="L45" s="783" t="str">
        <f t="shared" si="7"/>
        <v/>
      </c>
      <c r="M45" s="737"/>
      <c r="N45" s="784"/>
      <c r="O45" s="123"/>
      <c r="P45" s="85"/>
      <c r="R45" s="649"/>
      <c r="T45" s="785" t="str">
        <f>IF(C45="","",VLOOKUP(D45,'9. All Habitats + Multipliers'!$C$4:$K$102,5,FALSE))</f>
        <v/>
      </c>
      <c r="U45" s="786"/>
      <c r="V45" s="148" t="str">
        <f>IF(T45="","",VLOOKUP(T45,'11. Lists'!$B$47:$D$49,2,FALSE))</f>
        <v/>
      </c>
      <c r="W45" s="225" t="str">
        <f t="shared" si="8"/>
        <v/>
      </c>
      <c r="X45" s="148" t="str">
        <f>IF(W45="","",VLOOKUP(W45,'11. Lists'!$F$47:$G$51,2,FALSE))</f>
        <v/>
      </c>
      <c r="Y45" s="111"/>
      <c r="Z45" s="111"/>
      <c r="AA45" s="111"/>
      <c r="AB45" s="61" t="str">
        <f t="shared" si="9"/>
        <v/>
      </c>
      <c r="AC45" s="60" t="str">
        <f>IF(AB45="","",VLOOKUP(AB45,'11. Lists'!$F$36:$H$38,2,FALSE))</f>
        <v/>
      </c>
      <c r="AD45" s="148" t="str">
        <f>IF(AB45="","",VLOOKUP(AB45,'11. Lists'!$F$36:$H$38,3,FALSE))</f>
        <v/>
      </c>
      <c r="AE45" s="61"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56" t="str">
        <f>IF(AE45="","",VLOOKUP(AE45,'11. Lists'!$I$47:$K$80,3,FALSE))</f>
        <v/>
      </c>
      <c r="AG45" s="61" t="str">
        <f>IF(D45="","",VLOOKUP(D45,'9. All Habitats + Multipliers'!$C$4:$K$102,7,FALSE))</f>
        <v/>
      </c>
      <c r="AH45" s="148" t="str">
        <f>IF(AG45="","",VLOOKUP(AG45,'11. Lists'!$J$35:$K$38,2,FALSE))</f>
        <v/>
      </c>
    </row>
    <row r="46" spans="2:34" s="97" customFormat="1" ht="15.45" customHeight="1" x14ac:dyDescent="0.3">
      <c r="B46" s="286">
        <v>7</v>
      </c>
      <c r="C46" s="136"/>
      <c r="D46" s="63"/>
      <c r="E46" s="349" t="str">
        <f>IF(D46="","",VLOOKUP(D46,'10. Condition and Temporal'!$B$6:$D$103,3,FALSE))</f>
        <v/>
      </c>
      <c r="F46" s="778"/>
      <c r="G46" s="779"/>
      <c r="H46" s="39"/>
      <c r="I46" s="780"/>
      <c r="J46" s="781"/>
      <c r="K46" s="782"/>
      <c r="L46" s="783" t="str">
        <f t="shared" si="7"/>
        <v/>
      </c>
      <c r="M46" s="737"/>
      <c r="N46" s="784"/>
      <c r="O46" s="123"/>
      <c r="P46" s="85"/>
      <c r="R46" s="649"/>
      <c r="T46" s="785" t="str">
        <f>IF(C46="","",VLOOKUP(D46,'9. All Habitats + Multipliers'!$C$4:$K$102,5,FALSE))</f>
        <v/>
      </c>
      <c r="U46" s="786"/>
      <c r="V46" s="148" t="str">
        <f>IF(T46="","",VLOOKUP(T46,'11. Lists'!$B$47:$D$49,2,FALSE))</f>
        <v/>
      </c>
      <c r="W46" s="225" t="str">
        <f t="shared" si="8"/>
        <v/>
      </c>
      <c r="X46" s="148" t="str">
        <f>IF(W46="","",VLOOKUP(W46,'11. Lists'!$F$47:$G$51,2,FALSE))</f>
        <v/>
      </c>
      <c r="Y46" s="111"/>
      <c r="Z46" s="111"/>
      <c r="AA46" s="111"/>
      <c r="AB46" s="61" t="str">
        <f t="shared" si="9"/>
        <v/>
      </c>
      <c r="AC46" s="60" t="str">
        <f>IF(AB46="","",VLOOKUP(AB46,'11. Lists'!$F$36:$H$38,2,FALSE))</f>
        <v/>
      </c>
      <c r="AD46" s="148" t="str">
        <f>IF(AB46="","",VLOOKUP(AB46,'11. Lists'!$F$36:$H$38,3,FALSE))</f>
        <v/>
      </c>
      <c r="AE46" s="61"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56" t="str">
        <f>IF(AE46="","",VLOOKUP(AE46,'11. Lists'!$I$47:$K$80,3,FALSE))</f>
        <v/>
      </c>
      <c r="AG46" s="61" t="str">
        <f>IF(D46="","",VLOOKUP(D46,'9. All Habitats + Multipliers'!$C$4:$K$102,7,FALSE))</f>
        <v/>
      </c>
      <c r="AH46" s="148" t="str">
        <f>IF(AG46="","",VLOOKUP(AG46,'11. Lists'!$J$35:$K$38,2,FALSE))</f>
        <v/>
      </c>
    </row>
    <row r="47" spans="2:34" s="97" customFormat="1" ht="15.45" customHeight="1" x14ac:dyDescent="0.3">
      <c r="B47" s="286">
        <v>8</v>
      </c>
      <c r="C47" s="136"/>
      <c r="D47" s="63"/>
      <c r="E47" s="349" t="str">
        <f>IF(D47="","",VLOOKUP(D47,'10. Condition and Temporal'!$B$6:$D$103,3,FALSE))</f>
        <v/>
      </c>
      <c r="F47" s="778"/>
      <c r="G47" s="779"/>
      <c r="H47" s="39"/>
      <c r="I47" s="780"/>
      <c r="J47" s="781"/>
      <c r="K47" s="782"/>
      <c r="L47" s="783" t="str">
        <f t="shared" si="7"/>
        <v/>
      </c>
      <c r="M47" s="737"/>
      <c r="N47" s="784"/>
      <c r="O47" s="123"/>
      <c r="P47" s="85"/>
      <c r="R47" s="649"/>
      <c r="T47" s="785" t="str">
        <f>IF(C47="","",VLOOKUP(D47,'9. All Habitats + Multipliers'!$C$4:$K$102,5,FALSE))</f>
        <v/>
      </c>
      <c r="U47" s="786"/>
      <c r="V47" s="148" t="str">
        <f>IF(T47="","",VLOOKUP(T47,'11. Lists'!$B$47:$D$49,2,FALSE))</f>
        <v/>
      </c>
      <c r="W47" s="225" t="str">
        <f t="shared" si="8"/>
        <v/>
      </c>
      <c r="X47" s="148" t="str">
        <f>IF(W47="","",VLOOKUP(W47,'11. Lists'!$F$47:$G$51,2,FALSE))</f>
        <v/>
      </c>
      <c r="Y47" s="111"/>
      <c r="Z47" s="111"/>
      <c r="AA47" s="111"/>
      <c r="AB47" s="61" t="str">
        <f t="shared" si="9"/>
        <v/>
      </c>
      <c r="AC47" s="60" t="str">
        <f>IF(AB47="","",VLOOKUP(AB47,'11. Lists'!$F$36:$H$38,2,FALSE))</f>
        <v/>
      </c>
      <c r="AD47" s="148" t="str">
        <f>IF(AB47="","",VLOOKUP(AB47,'11. Lists'!$F$36:$H$38,3,FALSE))</f>
        <v/>
      </c>
      <c r="AE47" s="61"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56" t="str">
        <f>IF(AE47="","",VLOOKUP(AE47,'11. Lists'!$I$47:$K$80,3,FALSE))</f>
        <v/>
      </c>
      <c r="AG47" s="61" t="str">
        <f>IF(D47="","",VLOOKUP(D47,'9. All Habitats + Multipliers'!$C$4:$K$102,7,FALSE))</f>
        <v/>
      </c>
      <c r="AH47" s="148" t="str">
        <f>IF(AG47="","",VLOOKUP(AG47,'11. Lists'!$J$35:$K$38,2,FALSE))</f>
        <v/>
      </c>
    </row>
    <row r="48" spans="2:34" s="97" customFormat="1" ht="15.45" customHeight="1" x14ac:dyDescent="0.3">
      <c r="B48" s="286">
        <v>9</v>
      </c>
      <c r="C48" s="136"/>
      <c r="D48" s="63"/>
      <c r="E48" s="349" t="str">
        <f>IF(D48="","",VLOOKUP(D48,'10. Condition and Temporal'!$B$6:$D$103,3,FALSE))</f>
        <v/>
      </c>
      <c r="F48" s="778"/>
      <c r="G48" s="779"/>
      <c r="H48" s="39"/>
      <c r="I48" s="780"/>
      <c r="J48" s="781"/>
      <c r="K48" s="782"/>
      <c r="L48" s="783" t="str">
        <f t="shared" si="7"/>
        <v/>
      </c>
      <c r="M48" s="737"/>
      <c r="N48" s="784"/>
      <c r="O48" s="123"/>
      <c r="P48" s="85"/>
      <c r="R48" s="649"/>
      <c r="T48" s="785" t="str">
        <f>IF(C48="","",VLOOKUP(D48,'9. All Habitats + Multipliers'!$C$4:$K$102,5,FALSE))</f>
        <v/>
      </c>
      <c r="U48" s="786"/>
      <c r="V48" s="148" t="str">
        <f>IF(T48="","",VLOOKUP(T48,'11. Lists'!$B$47:$D$49,2,FALSE))</f>
        <v/>
      </c>
      <c r="W48" s="225" t="str">
        <f t="shared" si="8"/>
        <v/>
      </c>
      <c r="X48" s="148" t="str">
        <f>IF(W48="","",VLOOKUP(W48,'11. Lists'!$F$47:$G$51,2,FALSE))</f>
        <v/>
      </c>
      <c r="Y48" s="111"/>
      <c r="Z48" s="111"/>
      <c r="AA48" s="111"/>
      <c r="AB48" s="61" t="str">
        <f t="shared" si="9"/>
        <v/>
      </c>
      <c r="AC48" s="60" t="str">
        <f>IF(AB48="","",VLOOKUP(AB48,'11. Lists'!$F$36:$H$38,2,FALSE))</f>
        <v/>
      </c>
      <c r="AD48" s="148" t="str">
        <f>IF(AB48="","",VLOOKUP(AB48,'11. Lists'!$F$36:$H$38,3,FALSE))</f>
        <v/>
      </c>
      <c r="AE48" s="61"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56" t="str">
        <f>IF(AE48="","",VLOOKUP(AE48,'11. Lists'!$I$47:$K$80,3,FALSE))</f>
        <v/>
      </c>
      <c r="AG48" s="61" t="str">
        <f>IF(D48="","",VLOOKUP(D48,'9. All Habitats + Multipliers'!$C$4:$K$102,7,FALSE))</f>
        <v/>
      </c>
      <c r="AH48" s="148" t="str">
        <f>IF(AG48="","",VLOOKUP(AG48,'11. Lists'!$J$35:$K$38,2,FALSE))</f>
        <v/>
      </c>
    </row>
    <row r="49" spans="2:53" s="97" customFormat="1" ht="15.45" customHeight="1" x14ac:dyDescent="0.3">
      <c r="B49" s="286">
        <v>10</v>
      </c>
      <c r="C49" s="137"/>
      <c r="D49" s="63"/>
      <c r="E49" s="349" t="str">
        <f>IF(D49="","",VLOOKUP(D49,'10. Condition and Temporal'!$B$6:$D$103,3,FALSE))</f>
        <v/>
      </c>
      <c r="F49" s="778"/>
      <c r="G49" s="779"/>
      <c r="H49" s="39"/>
      <c r="I49" s="780"/>
      <c r="J49" s="781"/>
      <c r="K49" s="782"/>
      <c r="L49" s="783" t="str">
        <f t="shared" si="7"/>
        <v/>
      </c>
      <c r="M49" s="737"/>
      <c r="N49" s="784"/>
      <c r="O49" s="123"/>
      <c r="P49" s="85"/>
      <c r="R49" s="649"/>
      <c r="T49" s="785" t="str">
        <f>IF(C49="","",VLOOKUP(D49,'9. All Habitats + Multipliers'!$C$4:$K$102,5,FALSE))</f>
        <v/>
      </c>
      <c r="U49" s="786"/>
      <c r="V49" s="148" t="str">
        <f>IF(T49="","",VLOOKUP(T49,'11. Lists'!$B$47:$D$49,2,FALSE))</f>
        <v/>
      </c>
      <c r="W49" s="225" t="str">
        <f t="shared" si="8"/>
        <v/>
      </c>
      <c r="X49" s="148" t="str">
        <f>IF(W49="","",VLOOKUP(W49,'11. Lists'!$F$47:$G$51,2,FALSE))</f>
        <v/>
      </c>
      <c r="Y49" s="111"/>
      <c r="Z49" s="111"/>
      <c r="AA49" s="111"/>
      <c r="AB49" s="61" t="str">
        <f t="shared" si="9"/>
        <v/>
      </c>
      <c r="AC49" s="60" t="str">
        <f>IF(AB49="","",VLOOKUP(AB49,'11. Lists'!$F$36:$H$38,2,FALSE))</f>
        <v/>
      </c>
      <c r="AD49" s="148" t="str">
        <f>IF(AB49="","",VLOOKUP(AB49,'11. Lists'!$F$36:$H$38,3,FALSE))</f>
        <v/>
      </c>
      <c r="AE49" s="61"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56" t="str">
        <f>IF(AE49="","",VLOOKUP(AE49,'11. Lists'!$I$47:$K$80,3,FALSE))</f>
        <v/>
      </c>
      <c r="AG49" s="61" t="str">
        <f>IF(D49="","",VLOOKUP(D49,'9. All Habitats + Multipliers'!$C$4:$K$102,7,FALSE))</f>
        <v/>
      </c>
      <c r="AH49" s="148" t="str">
        <f>IF(AG49="","",VLOOKUP(AG49,'11. Lists'!$J$35:$K$38,2,FALSE))</f>
        <v/>
      </c>
    </row>
    <row r="50" spans="2:53" s="97" customFormat="1" ht="15.45" customHeight="1" x14ac:dyDescent="0.3">
      <c r="B50" s="286">
        <v>11</v>
      </c>
      <c r="C50" s="137"/>
      <c r="D50" s="63"/>
      <c r="E50" s="349" t="str">
        <f>IF(D50="","",VLOOKUP(D50,'10. Condition and Temporal'!$B$6:$D$103,3,FALSE))</f>
        <v/>
      </c>
      <c r="F50" s="778"/>
      <c r="G50" s="779"/>
      <c r="H50" s="39"/>
      <c r="I50" s="780"/>
      <c r="J50" s="781"/>
      <c r="K50" s="782"/>
      <c r="L50" s="783" t="str">
        <f t="shared" si="7"/>
        <v/>
      </c>
      <c r="M50" s="737"/>
      <c r="N50" s="784"/>
      <c r="O50" s="123"/>
      <c r="P50" s="85"/>
      <c r="R50" s="649"/>
      <c r="T50" s="785" t="str">
        <f>IF(C50="","",VLOOKUP(D50,'9. All Habitats + Multipliers'!$C$4:$K$102,5,FALSE))</f>
        <v/>
      </c>
      <c r="U50" s="786"/>
      <c r="V50" s="148" t="str">
        <f>IF(T50="","",VLOOKUP(T50,'11. Lists'!$B$47:$D$49,2,FALSE))</f>
        <v/>
      </c>
      <c r="W50" s="225" t="str">
        <f t="shared" si="8"/>
        <v/>
      </c>
      <c r="X50" s="148" t="str">
        <f>IF(W50="","",VLOOKUP(W50,'11. Lists'!$F$47:$G$51,2,FALSE))</f>
        <v/>
      </c>
      <c r="Y50" s="111"/>
      <c r="Z50" s="111"/>
      <c r="AA50" s="111"/>
      <c r="AB50" s="61" t="str">
        <f t="shared" si="9"/>
        <v/>
      </c>
      <c r="AC50" s="60" t="str">
        <f>IF(AB50="","",VLOOKUP(AB50,'11. Lists'!$F$36:$H$38,2,FALSE))</f>
        <v/>
      </c>
      <c r="AD50" s="148" t="str">
        <f>IF(AB50="","",VLOOKUP(AB50,'11. Lists'!$F$36:$H$38,3,FALSE))</f>
        <v/>
      </c>
      <c r="AE50" s="61"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56" t="str">
        <f>IF(AE50="","",VLOOKUP(AE50,'11. Lists'!$I$47:$K$80,3,FALSE))</f>
        <v/>
      </c>
      <c r="AG50" s="61" t="str">
        <f>IF(D50="","",VLOOKUP(D50,'9. All Habitats + Multipliers'!$C$4:$K$102,7,FALSE))</f>
        <v/>
      </c>
      <c r="AH50" s="148" t="str">
        <f>IF(AG50="","",VLOOKUP(AG50,'11. Lists'!$J$35:$K$38,2,FALSE))</f>
        <v/>
      </c>
    </row>
    <row r="51" spans="2:53" s="97" customFormat="1" ht="15.45" customHeight="1" x14ac:dyDescent="0.3">
      <c r="B51" s="286">
        <v>12</v>
      </c>
      <c r="C51" s="137"/>
      <c r="D51" s="63"/>
      <c r="E51" s="349" t="str">
        <f>IF(D51="","",VLOOKUP(D51,'10. Condition and Temporal'!$B$6:$D$103,3,FALSE))</f>
        <v/>
      </c>
      <c r="F51" s="778"/>
      <c r="G51" s="779"/>
      <c r="H51" s="39"/>
      <c r="I51" s="780"/>
      <c r="J51" s="781"/>
      <c r="K51" s="782"/>
      <c r="L51" s="783" t="str">
        <f t="shared" si="7"/>
        <v/>
      </c>
      <c r="M51" s="737"/>
      <c r="N51" s="784"/>
      <c r="O51" s="123"/>
      <c r="P51" s="85"/>
      <c r="R51" s="649"/>
      <c r="T51" s="785" t="str">
        <f>IF(C51="","",VLOOKUP(D51,'9. All Habitats + Multipliers'!$C$4:$K$102,5,FALSE))</f>
        <v/>
      </c>
      <c r="U51" s="786"/>
      <c r="V51" s="148" t="str">
        <f>IF(T51="","",VLOOKUP(T51,'11. Lists'!$B$47:$D$49,2,FALSE))</f>
        <v/>
      </c>
      <c r="W51" s="225" t="str">
        <f t="shared" si="8"/>
        <v/>
      </c>
      <c r="X51" s="148" t="str">
        <f>IF(W51="","",VLOOKUP(W51,'11. Lists'!$F$47:$G$51,2,FALSE))</f>
        <v/>
      </c>
      <c r="Y51" s="111"/>
      <c r="Z51" s="111"/>
      <c r="AA51" s="111"/>
      <c r="AB51" s="61" t="str">
        <f t="shared" si="9"/>
        <v/>
      </c>
      <c r="AC51" s="60" t="str">
        <f>IF(AB51="","",VLOOKUP(AB51,'11. Lists'!$F$36:$H$38,2,FALSE))</f>
        <v/>
      </c>
      <c r="AD51" s="148" t="str">
        <f>IF(AB51="","",VLOOKUP(AB51,'11. Lists'!$F$36:$H$38,3,FALSE))</f>
        <v/>
      </c>
      <c r="AE51" s="61"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56" t="str">
        <f>IF(AE51="","",VLOOKUP(AE51,'11. Lists'!$I$47:$K$80,3,FALSE))</f>
        <v/>
      </c>
      <c r="AG51" s="61" t="str">
        <f>IF(D51="","",VLOOKUP(D51,'9. All Habitats + Multipliers'!$C$4:$K$102,7,FALSE))</f>
        <v/>
      </c>
      <c r="AH51" s="148" t="str">
        <f>IF(AG51="","",VLOOKUP(AG51,'11. Lists'!$J$35:$K$38,2,FALSE))</f>
        <v/>
      </c>
    </row>
    <row r="52" spans="2:53" s="97" customFormat="1" ht="15.45" customHeight="1" x14ac:dyDescent="0.3">
      <c r="B52" s="286">
        <v>13</v>
      </c>
      <c r="C52" s="137"/>
      <c r="D52" s="63"/>
      <c r="E52" s="349" t="str">
        <f>IF(D52="","",VLOOKUP(D52,'10. Condition and Temporal'!$B$6:$D$103,3,FALSE))</f>
        <v/>
      </c>
      <c r="F52" s="778"/>
      <c r="G52" s="779"/>
      <c r="H52" s="39"/>
      <c r="I52" s="780"/>
      <c r="J52" s="781"/>
      <c r="K52" s="782"/>
      <c r="L52" s="783" t="str">
        <f t="shared" si="7"/>
        <v/>
      </c>
      <c r="M52" s="737"/>
      <c r="N52" s="784"/>
      <c r="O52" s="123"/>
      <c r="P52" s="85"/>
      <c r="R52" s="649"/>
      <c r="T52" s="785" t="str">
        <f>IF(C52="","",VLOOKUP(D52,'9. All Habitats + Multipliers'!$C$4:$K$102,5,FALSE))</f>
        <v/>
      </c>
      <c r="U52" s="786"/>
      <c r="V52" s="148" t="str">
        <f>IF(T52="","",VLOOKUP(T52,'11. Lists'!$B$47:$D$49,2,FALSE))</f>
        <v/>
      </c>
      <c r="W52" s="225" t="str">
        <f t="shared" si="8"/>
        <v/>
      </c>
      <c r="X52" s="148" t="str">
        <f>IF(W52="","",VLOOKUP(W52,'11. Lists'!$F$47:$G$51,2,FALSE))</f>
        <v/>
      </c>
      <c r="Y52" s="111"/>
      <c r="Z52" s="111"/>
      <c r="AA52" s="111"/>
      <c r="AB52" s="61" t="str">
        <f t="shared" si="9"/>
        <v/>
      </c>
      <c r="AC52" s="60" t="str">
        <f>IF(AB52="","",VLOOKUP(AB52,'11. Lists'!$F$36:$H$38,2,FALSE))</f>
        <v/>
      </c>
      <c r="AD52" s="148" t="str">
        <f>IF(AB52="","",VLOOKUP(AB52,'11. Lists'!$F$36:$H$38,3,FALSE))</f>
        <v/>
      </c>
      <c r="AE52" s="61"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56" t="str">
        <f>IF(AE52="","",VLOOKUP(AE52,'11. Lists'!$I$47:$K$80,3,FALSE))</f>
        <v/>
      </c>
      <c r="AG52" s="61" t="str">
        <f>IF(D52="","",VLOOKUP(D52,'9. All Habitats + Multipliers'!$C$4:$K$102,7,FALSE))</f>
        <v/>
      </c>
      <c r="AH52" s="148" t="str">
        <f>IF(AG52="","",VLOOKUP(AG52,'11. Lists'!$J$35:$K$38,2,FALSE))</f>
        <v/>
      </c>
    </row>
    <row r="53" spans="2:53" s="97" customFormat="1" ht="15.45" customHeight="1" x14ac:dyDescent="0.3">
      <c r="B53" s="286">
        <v>14</v>
      </c>
      <c r="C53" s="137"/>
      <c r="D53" s="63"/>
      <c r="E53" s="349" t="str">
        <f>IF(D53="","",VLOOKUP(D53,'10. Condition and Temporal'!$B$6:$D$103,3,FALSE))</f>
        <v/>
      </c>
      <c r="F53" s="778"/>
      <c r="G53" s="779"/>
      <c r="H53" s="39"/>
      <c r="I53" s="780"/>
      <c r="J53" s="781"/>
      <c r="K53" s="782"/>
      <c r="L53" s="783" t="str">
        <f t="shared" si="7"/>
        <v/>
      </c>
      <c r="M53" s="737"/>
      <c r="N53" s="784"/>
      <c r="O53" s="123"/>
      <c r="P53" s="85"/>
      <c r="R53" s="649"/>
      <c r="T53" s="785" t="str">
        <f>IF(C53="","",VLOOKUP(D53,'9. All Habitats + Multipliers'!$C$4:$K$102,5,FALSE))</f>
        <v/>
      </c>
      <c r="U53" s="786"/>
      <c r="V53" s="148" t="str">
        <f>IF(T53="","",VLOOKUP(T53,'11. Lists'!$B$47:$D$49,2,FALSE))</f>
        <v/>
      </c>
      <c r="W53" s="225" t="str">
        <f t="shared" si="8"/>
        <v/>
      </c>
      <c r="X53" s="148" t="str">
        <f>IF(W53="","",VLOOKUP(W53,'11. Lists'!$F$47:$G$51,2,FALSE))</f>
        <v/>
      </c>
      <c r="Y53" s="111"/>
      <c r="Z53" s="111"/>
      <c r="AA53" s="111"/>
      <c r="AB53" s="61" t="str">
        <f t="shared" si="9"/>
        <v/>
      </c>
      <c r="AC53" s="60" t="str">
        <f>IF(AB53="","",VLOOKUP(AB53,'11. Lists'!$F$36:$H$38,2,FALSE))</f>
        <v/>
      </c>
      <c r="AD53" s="148" t="str">
        <f>IF(AB53="","",VLOOKUP(AB53,'11. Lists'!$F$36:$H$38,3,FALSE))</f>
        <v/>
      </c>
      <c r="AE53" s="61"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56" t="str">
        <f>IF(AE53="","",VLOOKUP(AE53,'11. Lists'!$I$47:$K$80,3,FALSE))</f>
        <v/>
      </c>
      <c r="AG53" s="61" t="str">
        <f>IF(D53="","",VLOOKUP(D53,'9. All Habitats + Multipliers'!$C$4:$K$102,7,FALSE))</f>
        <v/>
      </c>
      <c r="AH53" s="148" t="str">
        <f>IF(AG53="","",VLOOKUP(AG53,'11. Lists'!$J$35:$K$38,2,FALSE))</f>
        <v/>
      </c>
    </row>
    <row r="54" spans="2:53" s="97" customFormat="1" ht="15.45" customHeight="1" x14ac:dyDescent="0.3">
      <c r="B54" s="286">
        <v>15</v>
      </c>
      <c r="C54" s="137"/>
      <c r="D54" s="63"/>
      <c r="E54" s="349" t="str">
        <f>IF(D54="","",VLOOKUP(D54,'10. Condition and Temporal'!$B$6:$D$103,3,FALSE))</f>
        <v/>
      </c>
      <c r="F54" s="778"/>
      <c r="G54" s="779"/>
      <c r="H54" s="39"/>
      <c r="I54" s="780"/>
      <c r="J54" s="781"/>
      <c r="K54" s="782"/>
      <c r="L54" s="783" t="str">
        <f t="shared" si="7"/>
        <v/>
      </c>
      <c r="M54" s="737"/>
      <c r="N54" s="784"/>
      <c r="O54" s="123"/>
      <c r="P54" s="85"/>
      <c r="R54" s="649"/>
      <c r="T54" s="785" t="str">
        <f>IF(C54="","",VLOOKUP(D54,'9. All Habitats + Multipliers'!$C$4:$K$102,5,FALSE))</f>
        <v/>
      </c>
      <c r="U54" s="786"/>
      <c r="V54" s="148" t="str">
        <f>IF(T54="","",VLOOKUP(T54,'11. Lists'!$B$47:$D$49,2,FALSE))</f>
        <v/>
      </c>
      <c r="W54" s="225" t="str">
        <f t="shared" si="8"/>
        <v/>
      </c>
      <c r="X54" s="148" t="str">
        <f>IF(W54="","",VLOOKUP(W54,'11. Lists'!$F$47:$G$51,2,FALSE))</f>
        <v/>
      </c>
      <c r="Y54" s="111"/>
      <c r="Z54" s="111"/>
      <c r="AA54" s="111"/>
      <c r="AB54" s="61" t="str">
        <f t="shared" si="9"/>
        <v/>
      </c>
      <c r="AC54" s="60" t="str">
        <f>IF(AB54="","",VLOOKUP(AB54,'11. Lists'!$F$36:$H$38,2,FALSE))</f>
        <v/>
      </c>
      <c r="AD54" s="148" t="str">
        <f>IF(AB54="","",VLOOKUP(AB54,'11. Lists'!$F$36:$H$38,3,FALSE))</f>
        <v/>
      </c>
      <c r="AE54" s="61"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56" t="str">
        <f>IF(AE54="","",VLOOKUP(AE54,'11. Lists'!$I$47:$K$80,3,FALSE))</f>
        <v/>
      </c>
      <c r="AG54" s="61" t="str">
        <f>IF(D54="","",VLOOKUP(D54,'9. All Habitats + Multipliers'!$C$4:$K$102,7,FALSE))</f>
        <v/>
      </c>
      <c r="AH54" s="148" t="str">
        <f>IF(AG54="","",VLOOKUP(AG54,'11. Lists'!$J$35:$K$38,2,FALSE))</f>
        <v/>
      </c>
    </row>
    <row r="55" spans="2:53" s="97" customFormat="1" ht="15.45" customHeight="1" x14ac:dyDescent="0.3">
      <c r="B55" s="286">
        <v>16</v>
      </c>
      <c r="C55" s="137"/>
      <c r="D55" s="63"/>
      <c r="E55" s="349" t="str">
        <f>IF(D55="","",VLOOKUP(D55,'10. Condition and Temporal'!$B$6:$D$103,3,FALSE))</f>
        <v/>
      </c>
      <c r="F55" s="778"/>
      <c r="G55" s="779"/>
      <c r="H55" s="39"/>
      <c r="I55" s="780"/>
      <c r="J55" s="781"/>
      <c r="K55" s="782"/>
      <c r="L55" s="783" t="str">
        <f t="shared" si="7"/>
        <v/>
      </c>
      <c r="M55" s="737"/>
      <c r="N55" s="784"/>
      <c r="O55" s="123"/>
      <c r="P55" s="85"/>
      <c r="R55" s="649"/>
      <c r="T55" s="785" t="str">
        <f>IF(C55="","",VLOOKUP(D55,'9. All Habitats + Multipliers'!$C$4:$K$102,5,FALSE))</f>
        <v/>
      </c>
      <c r="U55" s="786"/>
      <c r="V55" s="148" t="str">
        <f>IF(T55="","",VLOOKUP(T55,'11. Lists'!$B$47:$D$49,2,FALSE))</f>
        <v/>
      </c>
      <c r="W55" s="225" t="str">
        <f t="shared" si="8"/>
        <v/>
      </c>
      <c r="X55" s="148" t="str">
        <f>IF(W55="","",VLOOKUP(W55,'11. Lists'!$F$47:$G$51,2,FALSE))</f>
        <v/>
      </c>
      <c r="Y55" s="111"/>
      <c r="Z55" s="111"/>
      <c r="AA55" s="111"/>
      <c r="AB55" s="61" t="str">
        <f t="shared" si="9"/>
        <v/>
      </c>
      <c r="AC55" s="60" t="str">
        <f>IF(AB55="","",VLOOKUP(AB55,'11. Lists'!$F$36:$H$38,2,FALSE))</f>
        <v/>
      </c>
      <c r="AD55" s="148" t="str">
        <f>IF(AB55="","",VLOOKUP(AB55,'11. Lists'!$F$36:$H$38,3,FALSE))</f>
        <v/>
      </c>
      <c r="AE55" s="61"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56" t="str">
        <f>IF(AE55="","",VLOOKUP(AE55,'11. Lists'!$I$47:$K$80,3,FALSE))</f>
        <v/>
      </c>
      <c r="AG55" s="61" t="str">
        <f>IF(D55="","",VLOOKUP(D55,'9. All Habitats + Multipliers'!$C$4:$K$102,7,FALSE))</f>
        <v/>
      </c>
      <c r="AH55" s="148" t="str">
        <f>IF(AG55="","",VLOOKUP(AG55,'11. Lists'!$J$35:$K$38,2,FALSE))</f>
        <v/>
      </c>
    </row>
    <row r="56" spans="2:53" s="97" customFormat="1" ht="15.45" customHeight="1" x14ac:dyDescent="0.3">
      <c r="B56" s="286">
        <v>17</v>
      </c>
      <c r="C56" s="137"/>
      <c r="D56" s="63"/>
      <c r="E56" s="349" t="str">
        <f>IF(D56="","",VLOOKUP(D56,'10. Condition and Temporal'!$B$6:$D$103,3,FALSE))</f>
        <v/>
      </c>
      <c r="F56" s="778"/>
      <c r="G56" s="779"/>
      <c r="H56" s="39"/>
      <c r="I56" s="780"/>
      <c r="J56" s="781"/>
      <c r="K56" s="782"/>
      <c r="L56" s="783" t="str">
        <f t="shared" si="7"/>
        <v/>
      </c>
      <c r="M56" s="737"/>
      <c r="N56" s="784"/>
      <c r="O56" s="123"/>
      <c r="P56" s="85"/>
      <c r="R56" s="649"/>
      <c r="T56" s="785" t="str">
        <f>IF(C56="","",VLOOKUP(D56,'9. All Habitats + Multipliers'!$C$4:$K$102,5,FALSE))</f>
        <v/>
      </c>
      <c r="U56" s="786"/>
      <c r="V56" s="148" t="str">
        <f>IF(T56="","",VLOOKUP(T56,'11. Lists'!$B$47:$D$49,2,FALSE))</f>
        <v/>
      </c>
      <c r="W56" s="225" t="str">
        <f t="shared" si="8"/>
        <v/>
      </c>
      <c r="X56" s="148" t="str">
        <f>IF(W56="","",VLOOKUP(W56,'11. Lists'!$F$47:$G$51,2,FALSE))</f>
        <v/>
      </c>
      <c r="Y56" s="111"/>
      <c r="Z56" s="111"/>
      <c r="AA56" s="111"/>
      <c r="AB56" s="61" t="str">
        <f t="shared" si="9"/>
        <v/>
      </c>
      <c r="AC56" s="60" t="str">
        <f>IF(AB56="","",VLOOKUP(AB56,'11. Lists'!$F$36:$H$38,2,FALSE))</f>
        <v/>
      </c>
      <c r="AD56" s="148" t="str">
        <f>IF(AB56="","",VLOOKUP(AB56,'11. Lists'!$F$36:$H$38,3,FALSE))</f>
        <v/>
      </c>
      <c r="AE56" s="61"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56" t="str">
        <f>IF(AE56="","",VLOOKUP(AE56,'11. Lists'!$I$47:$K$80,3,FALSE))</f>
        <v/>
      </c>
      <c r="AG56" s="61" t="str">
        <f>IF(D56="","",VLOOKUP(D56,'9. All Habitats + Multipliers'!$C$4:$K$102,7,FALSE))</f>
        <v/>
      </c>
      <c r="AH56" s="148" t="str">
        <f>IF(AG56="","",VLOOKUP(AG56,'11. Lists'!$J$35:$K$38,2,FALSE))</f>
        <v/>
      </c>
    </row>
    <row r="57" spans="2:53" s="97" customFormat="1" ht="15.45" customHeight="1" x14ac:dyDescent="0.3">
      <c r="B57" s="286">
        <v>18</v>
      </c>
      <c r="C57" s="137"/>
      <c r="D57" s="63"/>
      <c r="E57" s="349" t="str">
        <f>IF(D57="","",VLOOKUP(D57,'10. Condition and Temporal'!$B$6:$D$103,3,FALSE))</f>
        <v/>
      </c>
      <c r="F57" s="778"/>
      <c r="G57" s="779"/>
      <c r="H57" s="39"/>
      <c r="I57" s="780"/>
      <c r="J57" s="781"/>
      <c r="K57" s="782"/>
      <c r="L57" s="783" t="str">
        <f t="shared" si="7"/>
        <v/>
      </c>
      <c r="M57" s="737"/>
      <c r="N57" s="784"/>
      <c r="O57" s="123"/>
      <c r="P57" s="85"/>
      <c r="R57" s="649"/>
      <c r="T57" s="785" t="str">
        <f>IF(C57="","",VLOOKUP(D57,'9. All Habitats + Multipliers'!$C$4:$K$102,5,FALSE))</f>
        <v/>
      </c>
      <c r="U57" s="786"/>
      <c r="V57" s="148" t="str">
        <f>IF(T57="","",VLOOKUP(T57,'11. Lists'!$B$47:$D$49,2,FALSE))</f>
        <v/>
      </c>
      <c r="W57" s="225" t="str">
        <f t="shared" si="8"/>
        <v/>
      </c>
      <c r="X57" s="148" t="str">
        <f>IF(W57="","",VLOOKUP(W57,'11. Lists'!$F$47:$G$51,2,FALSE))</f>
        <v/>
      </c>
      <c r="Y57" s="111"/>
      <c r="Z57" s="111"/>
      <c r="AA57" s="111"/>
      <c r="AB57" s="61" t="str">
        <f t="shared" si="9"/>
        <v/>
      </c>
      <c r="AC57" s="60" t="str">
        <f>IF(AB57="","",VLOOKUP(AB57,'11. Lists'!$F$36:$H$38,2,FALSE))</f>
        <v/>
      </c>
      <c r="AD57" s="148" t="str">
        <f>IF(AB57="","",VLOOKUP(AB57,'11. Lists'!$F$36:$H$38,3,FALSE))</f>
        <v/>
      </c>
      <c r="AE57" s="61"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56" t="str">
        <f>IF(AE57="","",VLOOKUP(AE57,'11. Lists'!$I$47:$K$80,3,FALSE))</f>
        <v/>
      </c>
      <c r="AG57" s="61" t="str">
        <f>IF(D57="","",VLOOKUP(D57,'9. All Habitats + Multipliers'!$C$4:$K$102,7,FALSE))</f>
        <v/>
      </c>
      <c r="AH57" s="148" t="str">
        <f>IF(AG57="","",VLOOKUP(AG57,'11. Lists'!$J$35:$K$38,2,FALSE))</f>
        <v/>
      </c>
    </row>
    <row r="58" spans="2:53" s="97" customFormat="1" ht="15.45" customHeight="1" x14ac:dyDescent="0.3">
      <c r="B58" s="286">
        <v>19</v>
      </c>
      <c r="C58" s="137"/>
      <c r="D58" s="63"/>
      <c r="E58" s="349" t="str">
        <f>IF(D58="","",VLOOKUP(D58,'10. Condition and Temporal'!$B$6:$D$103,3,FALSE))</f>
        <v/>
      </c>
      <c r="F58" s="778"/>
      <c r="G58" s="779"/>
      <c r="H58" s="39"/>
      <c r="I58" s="780"/>
      <c r="J58" s="781"/>
      <c r="K58" s="782"/>
      <c r="L58" s="783" t="str">
        <f t="shared" si="7"/>
        <v/>
      </c>
      <c r="M58" s="737"/>
      <c r="N58" s="784"/>
      <c r="O58" s="123"/>
      <c r="P58" s="85"/>
      <c r="R58" s="649"/>
      <c r="T58" s="785" t="str">
        <f>IF(C58="","",VLOOKUP(D58,'9. All Habitats + Multipliers'!$C$4:$K$102,5,FALSE))</f>
        <v/>
      </c>
      <c r="U58" s="786"/>
      <c r="V58" s="148" t="str">
        <f>IF(T58="","",VLOOKUP(T58,'11. Lists'!$B$47:$D$49,2,FALSE))</f>
        <v/>
      </c>
      <c r="W58" s="225" t="str">
        <f t="shared" si="8"/>
        <v/>
      </c>
      <c r="X58" s="148" t="str">
        <f>IF(W58="","",VLOOKUP(W58,'11. Lists'!$F$47:$G$51,2,FALSE))</f>
        <v/>
      </c>
      <c r="Y58" s="111"/>
      <c r="Z58" s="111"/>
      <c r="AA58" s="111"/>
      <c r="AB58" s="61" t="str">
        <f t="shared" si="9"/>
        <v/>
      </c>
      <c r="AC58" s="60" t="str">
        <f>IF(AB58="","",VLOOKUP(AB58,'11. Lists'!$F$36:$H$38,2,FALSE))</f>
        <v/>
      </c>
      <c r="AD58" s="148" t="str">
        <f>IF(AB58="","",VLOOKUP(AB58,'11. Lists'!$F$36:$H$38,3,FALSE))</f>
        <v/>
      </c>
      <c r="AE58" s="61"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56" t="str">
        <f>IF(AE58="","",VLOOKUP(AE58,'11. Lists'!$I$47:$K$80,3,FALSE))</f>
        <v/>
      </c>
      <c r="AG58" s="61" t="str">
        <f>IF(D58="","",VLOOKUP(D58,'9. All Habitats + Multipliers'!$C$4:$K$102,7,FALSE))</f>
        <v/>
      </c>
      <c r="AH58" s="148" t="str">
        <f>IF(AG58="","",VLOOKUP(AG58,'11. Lists'!$J$35:$K$38,2,FALSE))</f>
        <v/>
      </c>
    </row>
    <row r="59" spans="2:53" s="97" customFormat="1" ht="16.2" customHeight="1" x14ac:dyDescent="0.3">
      <c r="B59" s="288">
        <v>20</v>
      </c>
      <c r="C59" s="137"/>
      <c r="D59" s="63"/>
      <c r="E59" s="349" t="str">
        <f>IF(D59="","",VLOOKUP(D59,'10. Condition and Temporal'!$B$6:$D$103,3,FALSE))</f>
        <v/>
      </c>
      <c r="F59" s="778"/>
      <c r="G59" s="779"/>
      <c r="H59" s="138"/>
      <c r="I59" s="780"/>
      <c r="J59" s="781"/>
      <c r="K59" s="782"/>
      <c r="L59" s="783" t="str">
        <f t="shared" si="7"/>
        <v/>
      </c>
      <c r="M59" s="737"/>
      <c r="N59" s="784"/>
      <c r="O59" s="94"/>
      <c r="P59" s="80"/>
      <c r="R59" s="649"/>
      <c r="T59" s="785" t="str">
        <f>IF(C59="","",VLOOKUP(D59,'9. All Habitats + Multipliers'!$C$4:$K$102,5,FALSE))</f>
        <v/>
      </c>
      <c r="U59" s="786"/>
      <c r="V59" s="148" t="str">
        <f>IF(T59="","",VLOOKUP(T59,'11. Lists'!$B$47:$D$49,2,FALSE))</f>
        <v/>
      </c>
      <c r="W59" s="225" t="str">
        <f t="shared" si="8"/>
        <v/>
      </c>
      <c r="X59" s="148" t="str">
        <f>IF(W59="","",VLOOKUP(W59,'11. Lists'!$F$47:$G$51,2,FALSE))</f>
        <v/>
      </c>
      <c r="Y59" s="111"/>
      <c r="Z59" s="111"/>
      <c r="AA59" s="111"/>
      <c r="AB59" s="61" t="str">
        <f t="shared" si="9"/>
        <v/>
      </c>
      <c r="AC59" s="60" t="str">
        <f>IF(AB59="","",VLOOKUP(AB59,'11. Lists'!$F$36:$H$38,2,FALSE))</f>
        <v/>
      </c>
      <c r="AD59" s="148" t="str">
        <f>IF(AB59="","",VLOOKUP(AB59,'11. Lists'!$F$36:$H$38,3,FALSE))</f>
        <v/>
      </c>
      <c r="AE59" s="61" t="str">
        <f>IF(F59="","",IF(F59="Moderate",VLOOKUP(D59,'10. Condition and Temporal'!$B$6:$L$103,6,FALSE),IF(F59="Good",VLOOKUP(D59,'10. Condition and Temporal'!$B$6:$L$103,7,FALSE),IF(F59="Poor",VLOOKUP(D59,'10. Condition and Temporal'!$B$6:$L$103,8,FALSE),IF(F59="Condition Assessment N/A",VLOOKUP(D59,'10. Condition and Temporal'!$B$6:$L$103,9,FALSE),IF(F59="N/A - Other",VLOOKUP(D59,'10. Condition and Temporal'!$B$6:$L$103,10,FALSE)))))))</f>
        <v/>
      </c>
      <c r="AF59" s="156" t="str">
        <f>IF(AE59="","",VLOOKUP(AE59,'11. Lists'!$I$47:$K$80,3,FALSE))</f>
        <v/>
      </c>
      <c r="AG59" s="61" t="str">
        <f>IF(D59="","",VLOOKUP(D59,'9. All Habitats + Multipliers'!$C$4:$K$102,7,FALSE))</f>
        <v/>
      </c>
      <c r="AH59" s="148" t="str">
        <f>IF(AG59="","",VLOOKUP(AG59,'11. Lists'!$J$35:$K$38,2,FALSE))</f>
        <v/>
      </c>
    </row>
    <row r="60" spans="2:53" s="97" customFormat="1" ht="29.55" customHeight="1" x14ac:dyDescent="0.3">
      <c r="B60" s="289" t="s">
        <v>103</v>
      </c>
      <c r="C60" s="150" t="s">
        <v>104</v>
      </c>
      <c r="D60" s="45" t="s">
        <v>105</v>
      </c>
      <c r="E60" s="59" t="s">
        <v>125</v>
      </c>
      <c r="F60" s="787" t="s">
        <v>125</v>
      </c>
      <c r="G60" s="788"/>
      <c r="H60" s="58" t="s">
        <v>126</v>
      </c>
      <c r="I60" s="789">
        <f>O99</f>
        <v>0</v>
      </c>
      <c r="J60" s="790"/>
      <c r="K60" s="791"/>
      <c r="L60" s="792">
        <f>IF(D60="","",((I60/10000)*(V60*X60))*(AH60*AF60)*AD60)</f>
        <v>0</v>
      </c>
      <c r="M60" s="793"/>
      <c r="N60" s="712"/>
      <c r="O60" s="105"/>
      <c r="P60" s="106"/>
      <c r="R60" s="649"/>
      <c r="T60" s="794" t="str">
        <f>IF(C60="","",VLOOKUP(D60,'9. All Habitats + Multipliers'!$C$4:$K$102,5,FALSE))</f>
        <v>Medium</v>
      </c>
      <c r="U60" s="795"/>
      <c r="V60" s="151">
        <f>IF(T60="","",VLOOKUP(T60,'11. Lists'!$B$47:$D$49,2,FALSE))</f>
        <v>4</v>
      </c>
      <c r="W60" s="352" t="str">
        <f t="shared" si="8"/>
        <v>Moderate</v>
      </c>
      <c r="X60" s="151">
        <f>IF(W60="","",VLOOKUP(W60,'11. Lists'!$F$47:$G$51,2,FALSE))</f>
        <v>2</v>
      </c>
      <c r="Y60" s="111"/>
      <c r="Z60" s="111"/>
      <c r="AA60" s="111"/>
      <c r="AB60" s="57" t="str">
        <f t="shared" si="9"/>
        <v>Area/compensation not in local strategy/ no local strategy</v>
      </c>
      <c r="AC60" s="56" t="str">
        <f>IF(AB60="","",VLOOKUP(AB60,'11. Lists'!$F$36:$H$38,2,FALSE))</f>
        <v>Low Strategic Significance</v>
      </c>
      <c r="AD60" s="151">
        <f>IF(AB60="","",VLOOKUP(AB60,'11. Lists'!$F$36:$H$38,3,FALSE))</f>
        <v>1</v>
      </c>
      <c r="AE60" s="57">
        <f>IF(F60="","",IF(F60="Moderate",VLOOKUP(D60,'10. Condition and Temporal'!$B$6:$L$103,6,FALSE),IF('5. Area Habitats'!F60="Good",VLOOKUP(D60,'10. Condition and Temporal'!$B$6:$L$103,7,FALSE),VLOOKUP(D60,'10. Condition and Temporal'!$B$6:$L$103,8,FALSE))))</f>
        <v>27</v>
      </c>
      <c r="AF60" s="157">
        <f>IF(AE60="","",VLOOKUP(AE60,'11. Lists'!$I$47:$K$80,3,FALSE))</f>
        <v>0.38215316459999998</v>
      </c>
      <c r="AG60" s="57" t="str">
        <f>IF(D60="","",VLOOKUP(D60,'9. All Habitats + Multipliers'!$C$4:$K$102,7,FALSE))</f>
        <v>Low</v>
      </c>
      <c r="AH60" s="151">
        <f>IF(AG60="","",VLOOKUP(AG60,'11. Lists'!$J$35:$K$38,2,FALSE))</f>
        <v>1</v>
      </c>
    </row>
    <row r="61" spans="2:53" s="97" customFormat="1" ht="15" customHeight="1" x14ac:dyDescent="0.3">
      <c r="H61" s="17" t="s">
        <v>107</v>
      </c>
      <c r="I61" s="754">
        <f>SUMIFS(I40:I59,D40:D59,"&lt;&gt;"&amp;'11. Lists'!Q10,D40:D59,"&lt;&gt;"&amp;'11. Lists'!Q11,D40:D59,"&lt;&gt;"&amp;'11. Lists'!I4,D40:D59,"&lt;&gt;"&amp;'11. Lists'!I2,D40:D59,"&lt;&gt;"&amp;'11. Lists'!I3)</f>
        <v>181.41</v>
      </c>
      <c r="J61" s="755"/>
      <c r="K61" s="756"/>
      <c r="L61" s="714">
        <f>SUM(L40:N60)</f>
        <v>0</v>
      </c>
      <c r="M61" s="757"/>
      <c r="N61" s="713"/>
      <c r="R61" s="649"/>
    </row>
    <row r="62" spans="2:53" s="97" customFormat="1" ht="15" customHeight="1" x14ac:dyDescent="0.3">
      <c r="H62" s="290" t="s">
        <v>127</v>
      </c>
      <c r="I62" s="758" t="str">
        <f>IF(I61&lt;&gt;M32,"Error - Area of habitat creation must match area lost ▲","Areas Acceptable ✓")</f>
        <v>Areas Acceptable ✓</v>
      </c>
      <c r="J62" s="759"/>
      <c r="K62" s="759"/>
      <c r="L62" s="759"/>
      <c r="M62" s="759"/>
      <c r="N62" s="760"/>
      <c r="O62" s="200">
        <f>IFERROR(FIND("Error",I62),0)</f>
        <v>0</v>
      </c>
      <c r="R62" s="649"/>
    </row>
    <row r="63" spans="2:53" s="97" customFormat="1" x14ac:dyDescent="0.3">
      <c r="I63" s="434">
        <f>SUM($I$40:$K$60)</f>
        <v>181.41</v>
      </c>
      <c r="R63" s="649"/>
      <c r="BA63" s="112" t="s">
        <v>128</v>
      </c>
    </row>
    <row r="64" spans="2:53" s="97" customFormat="1" ht="21" customHeight="1" x14ac:dyDescent="0.4">
      <c r="B64" s="119" t="s">
        <v>129</v>
      </c>
      <c r="D64" s="146"/>
      <c r="H64" s="98"/>
      <c r="R64" s="649"/>
      <c r="BA64" s="112" t="s">
        <v>130</v>
      </c>
    </row>
    <row r="65" spans="1:76" s="97" customFormat="1" ht="15" customHeight="1" x14ac:dyDescent="0.3">
      <c r="A65" s="147"/>
      <c r="R65" s="649" t="s">
        <v>66</v>
      </c>
    </row>
    <row r="66" spans="1:76" s="97" customFormat="1" ht="16.2" customHeight="1" x14ac:dyDescent="0.3">
      <c r="A66" s="147"/>
      <c r="B66" s="761" t="s">
        <v>131</v>
      </c>
      <c r="C66" s="763" t="s">
        <v>132</v>
      </c>
      <c r="D66" s="764"/>
      <c r="E66" s="765" t="s">
        <v>133</v>
      </c>
      <c r="F66" s="766"/>
      <c r="G66" s="767"/>
      <c r="H66" s="748" t="s">
        <v>134</v>
      </c>
      <c r="I66" s="748" t="s">
        <v>135</v>
      </c>
      <c r="J66" s="768" t="s">
        <v>136</v>
      </c>
      <c r="K66" s="769"/>
      <c r="L66" s="763" t="s">
        <v>137</v>
      </c>
      <c r="M66" s="773" t="s">
        <v>138</v>
      </c>
      <c r="N66" s="764"/>
      <c r="O66" s="776" t="s">
        <v>79</v>
      </c>
      <c r="P66" s="777"/>
      <c r="R66" s="649"/>
      <c r="T66" s="745" t="s">
        <v>139</v>
      </c>
      <c r="U66" s="746"/>
      <c r="V66" s="746"/>
      <c r="W66" s="746"/>
      <c r="X66" s="746"/>
      <c r="Y66" s="746"/>
      <c r="Z66" s="746"/>
      <c r="AA66" s="746"/>
      <c r="AB66" s="746"/>
      <c r="AC66" s="746"/>
      <c r="AD66" s="747"/>
      <c r="AE66" s="748" t="s">
        <v>140</v>
      </c>
      <c r="AF66" s="745" t="s">
        <v>141</v>
      </c>
      <c r="AG66" s="746"/>
      <c r="AH66" s="746"/>
      <c r="AI66" s="746"/>
      <c r="AJ66" s="746"/>
      <c r="AK66" s="746"/>
      <c r="AL66" s="746"/>
      <c r="AM66" s="746"/>
      <c r="AN66" s="746"/>
      <c r="AO66" s="746"/>
      <c r="AP66" s="747"/>
      <c r="AQ66" s="750" t="s">
        <v>142</v>
      </c>
      <c r="AR66" s="745" t="s">
        <v>141</v>
      </c>
      <c r="AS66" s="746"/>
      <c r="AT66" s="746"/>
      <c r="AU66" s="746"/>
      <c r="AV66" s="746"/>
      <c r="AW66" s="746"/>
      <c r="AX66" s="746"/>
      <c r="AY66" s="457"/>
      <c r="BA66" s="69" t="s">
        <v>143</v>
      </c>
      <c r="BB66" s="226">
        <f t="shared" ref="BB66:BU66" si="10">COUNTIF(BB68:BB87,"?*")</f>
        <v>0</v>
      </c>
      <c r="BC66" s="226">
        <f t="shared" si="10"/>
        <v>0</v>
      </c>
      <c r="BD66" s="226">
        <f t="shared" si="10"/>
        <v>0</v>
      </c>
      <c r="BE66" s="226">
        <f t="shared" si="10"/>
        <v>0</v>
      </c>
      <c r="BF66" s="226">
        <f t="shared" si="10"/>
        <v>0</v>
      </c>
      <c r="BG66" s="226">
        <f t="shared" si="10"/>
        <v>0</v>
      </c>
      <c r="BH66" s="226">
        <f t="shared" si="10"/>
        <v>0</v>
      </c>
      <c r="BI66" s="226">
        <f t="shared" si="10"/>
        <v>0</v>
      </c>
      <c r="BJ66" s="226">
        <f t="shared" si="10"/>
        <v>0</v>
      </c>
      <c r="BK66" s="226">
        <f t="shared" si="10"/>
        <v>0</v>
      </c>
      <c r="BL66" s="226">
        <f t="shared" si="10"/>
        <v>0</v>
      </c>
      <c r="BM66" s="226">
        <f t="shared" si="10"/>
        <v>0</v>
      </c>
      <c r="BN66" s="226">
        <f t="shared" si="10"/>
        <v>0</v>
      </c>
      <c r="BO66" s="226">
        <f t="shared" si="10"/>
        <v>0</v>
      </c>
      <c r="BP66" s="226">
        <f t="shared" si="10"/>
        <v>0</v>
      </c>
      <c r="BQ66" s="226">
        <f t="shared" si="10"/>
        <v>0</v>
      </c>
      <c r="BR66" s="226">
        <f t="shared" si="10"/>
        <v>0</v>
      </c>
      <c r="BS66" s="226">
        <f t="shared" si="10"/>
        <v>0</v>
      </c>
      <c r="BT66" s="226">
        <f t="shared" si="10"/>
        <v>0</v>
      </c>
      <c r="BU66" s="226">
        <f t="shared" si="10"/>
        <v>0</v>
      </c>
    </row>
    <row r="67" spans="1:76" s="97" customFormat="1" ht="48.75" customHeight="1" x14ac:dyDescent="0.3">
      <c r="A67" s="147"/>
      <c r="B67" s="762"/>
      <c r="C67" s="241" t="s">
        <v>144</v>
      </c>
      <c r="D67" s="42" t="s">
        <v>145</v>
      </c>
      <c r="E67" s="144" t="s">
        <v>146</v>
      </c>
      <c r="F67" s="731" t="s">
        <v>147</v>
      </c>
      <c r="G67" s="732"/>
      <c r="H67" s="749"/>
      <c r="I67" s="749"/>
      <c r="J67" s="770"/>
      <c r="K67" s="771"/>
      <c r="L67" s="772"/>
      <c r="M67" s="774"/>
      <c r="N67" s="775"/>
      <c r="O67" s="55" t="s">
        <v>94</v>
      </c>
      <c r="P67" s="42" t="s">
        <v>95</v>
      </c>
      <c r="R67" s="649"/>
      <c r="T67" s="49" t="s">
        <v>148</v>
      </c>
      <c r="U67" s="16" t="s">
        <v>149</v>
      </c>
      <c r="V67" s="356" t="s">
        <v>150</v>
      </c>
      <c r="W67" s="497" t="s">
        <v>151</v>
      </c>
      <c r="X67" s="498" t="s">
        <v>152</v>
      </c>
      <c r="Y67" s="359"/>
      <c r="Z67" s="359"/>
      <c r="AA67" s="359"/>
      <c r="AB67" s="498" t="s">
        <v>153</v>
      </c>
      <c r="AC67" s="498" t="s">
        <v>154</v>
      </c>
      <c r="AD67" s="356" t="s">
        <v>155</v>
      </c>
      <c r="AE67" s="749"/>
      <c r="AF67" s="48" t="s">
        <v>148</v>
      </c>
      <c r="AG67" s="16" t="s">
        <v>96</v>
      </c>
      <c r="AH67" s="356" t="s">
        <v>97</v>
      </c>
      <c r="AI67" s="497" t="s">
        <v>98</v>
      </c>
      <c r="AJ67" s="361" t="s">
        <v>97</v>
      </c>
      <c r="AK67" s="66"/>
      <c r="AL67" s="66"/>
      <c r="AM67" s="66"/>
      <c r="AN67" s="362" t="s">
        <v>82</v>
      </c>
      <c r="AO67" s="498" t="s">
        <v>82</v>
      </c>
      <c r="AP67" s="508" t="s">
        <v>99</v>
      </c>
      <c r="AQ67" s="751"/>
      <c r="AR67" s="356" t="s">
        <v>156</v>
      </c>
      <c r="AS67" s="16" t="s">
        <v>157</v>
      </c>
      <c r="AT67" s="356" t="s">
        <v>158</v>
      </c>
      <c r="AU67" s="47" t="s">
        <v>159</v>
      </c>
      <c r="AV67" s="356" t="s">
        <v>160</v>
      </c>
      <c r="AW67" s="50" t="s">
        <v>161</v>
      </c>
      <c r="AX67" s="44" t="s">
        <v>162</v>
      </c>
      <c r="AY67" s="458" t="s">
        <v>163</v>
      </c>
      <c r="BA67" s="142" t="s">
        <v>164</v>
      </c>
      <c r="BB67" s="210">
        <v>1</v>
      </c>
      <c r="BC67" s="210">
        <v>2</v>
      </c>
      <c r="BD67" s="210">
        <v>3</v>
      </c>
      <c r="BE67" s="210">
        <v>4</v>
      </c>
      <c r="BF67" s="210">
        <v>5</v>
      </c>
      <c r="BG67" s="210">
        <v>6</v>
      </c>
      <c r="BH67" s="210">
        <v>7</v>
      </c>
      <c r="BI67" s="210">
        <v>8</v>
      </c>
      <c r="BJ67" s="210">
        <v>9</v>
      </c>
      <c r="BK67" s="210">
        <v>10</v>
      </c>
      <c r="BL67" s="210">
        <v>11</v>
      </c>
      <c r="BM67" s="210">
        <v>12</v>
      </c>
      <c r="BN67" s="210">
        <v>13</v>
      </c>
      <c r="BO67" s="210">
        <v>14</v>
      </c>
      <c r="BP67" s="210">
        <v>15</v>
      </c>
      <c r="BQ67" s="210">
        <v>16</v>
      </c>
      <c r="BR67" s="210">
        <v>17</v>
      </c>
      <c r="BS67" s="210">
        <v>18</v>
      </c>
      <c r="BT67" s="210">
        <v>19</v>
      </c>
      <c r="BU67" s="210">
        <v>20</v>
      </c>
      <c r="BV67" s="224" t="s">
        <v>165</v>
      </c>
      <c r="BW67" s="210" t="s">
        <v>166</v>
      </c>
      <c r="BX67" s="210" t="s">
        <v>167</v>
      </c>
    </row>
    <row r="68" spans="1:76" s="97" customFormat="1" ht="15.45" customHeight="1" x14ac:dyDescent="0.3">
      <c r="A68" s="147"/>
      <c r="B68" s="285">
        <v>1</v>
      </c>
      <c r="C68" s="237" t="str">
        <f t="shared" ref="C68:C87" si="11">IF(D68="","",C11)</f>
        <v/>
      </c>
      <c r="D68" s="238" t="str">
        <f t="shared" ref="D68:D87" si="12">IF(OR(K11=0, K11=""),"",D11)</f>
        <v/>
      </c>
      <c r="E68" s="239" t="str">
        <f t="shared" ref="E68:E88" si="13">IF(AX68="","",AX68)</f>
        <v/>
      </c>
      <c r="F68" s="752"/>
      <c r="G68" s="753"/>
      <c r="H68" s="205" t="str">
        <f t="shared" ref="H68:H87" si="14">IF(D68="","",AB68)</f>
        <v/>
      </c>
      <c r="I68" s="335" t="str">
        <f t="shared" ref="I68:I87" si="15">IF(OR(K11="", K11=0),"",K11)</f>
        <v/>
      </c>
      <c r="J68" s="735" t="str">
        <f>IFERROR(IF(F68="","",VLOOKUP(F68,'10. Condition and Temporal'!$B$6:$F$103,5,FALSE)), "Error ▲")</f>
        <v/>
      </c>
      <c r="K68" s="736"/>
      <c r="L68" s="305" t="str">
        <f t="shared" ref="L68:L87" si="16">IFERROR(IF(D68="","",IF(AX68="Distinctiveness",(((((I68*AH68*AJ68)-(I68*V68*X68))*(AV68*AT68))+(I68*V68*X68))*(AP68))/10000,((((I68*AJ68*AH68)-(I68*V68*X68))*(AV68*AR68))+(I68*V68*X68))*AP68/10000)),"Error ▲")</f>
        <v/>
      </c>
      <c r="M68" s="737" t="str">
        <f t="shared" ref="M68:M87" si="17">IFERROR(IF(F68="","",L68-AD68), "Error ▲")</f>
        <v/>
      </c>
      <c r="N68" s="738"/>
      <c r="O68" s="240"/>
      <c r="P68" s="75"/>
      <c r="R68" s="649"/>
      <c r="T68" s="218" t="str">
        <f t="shared" ref="T68:T88" si="18">IF(D68="","",K11)</f>
        <v/>
      </c>
      <c r="U68" s="22" t="str">
        <f t="shared" ref="U68:U88" si="19">IF($D68="","",T11)</f>
        <v/>
      </c>
      <c r="V68" s="364" t="str">
        <f t="shared" ref="V68:X88" si="20">IF($D68="","",V11)</f>
        <v/>
      </c>
      <c r="W68" s="22" t="str">
        <f t="shared" si="20"/>
        <v/>
      </c>
      <c r="X68" s="364" t="str">
        <f t="shared" si="20"/>
        <v/>
      </c>
      <c r="Y68" s="372"/>
      <c r="Z68" s="350"/>
      <c r="AA68" s="499"/>
      <c r="AB68" s="22" t="str">
        <f t="shared" ref="AB68:AB88" si="21">IF($D68="","",AB11)</f>
        <v/>
      </c>
      <c r="AC68" s="364" t="str">
        <f t="shared" ref="AC68:AC88" si="22">IF($D68="","",AD11)</f>
        <v/>
      </c>
      <c r="AD68" s="502" t="str">
        <f t="shared" ref="AD68:AD87" si="23">IF(AC68="","",(T68*V68*X68)*AC68/10000)</f>
        <v/>
      </c>
      <c r="AE68" s="502" t="str">
        <f t="shared" ref="AE68:AE88" si="24">IF(AD68="","",IF(AH68&lt;V68,"Not Acceptable","Acceptable"))</f>
        <v/>
      </c>
      <c r="AF68" s="502" t="str">
        <f t="shared" ref="AF68:AF88" si="25">IF(D68="","",I68)</f>
        <v/>
      </c>
      <c r="AG68" s="22" t="str">
        <f>IF(D68="","",VLOOKUP(F68,'9. All Habitats + Multipliers'!$C$4:$K$102,5,FALSE))</f>
        <v/>
      </c>
      <c r="AH68" s="505" t="str">
        <f>IF(AG68="","",VLOOKUP(AG68,'11. Lists'!$B$47:$D$49,2,FALSE))</f>
        <v/>
      </c>
      <c r="AI68" s="22" t="str">
        <f t="shared" ref="AI68:AI88" si="26">IF(D68="","",J68)</f>
        <v/>
      </c>
      <c r="AJ68" s="364" t="str">
        <f>IF(AI68="","",VLOOKUP(AI68,'11. Lists'!$F$47:$G$51,2,FALSE))</f>
        <v/>
      </c>
      <c r="AK68" s="507"/>
      <c r="AL68" s="363"/>
      <c r="AM68" s="510"/>
      <c r="AN68" s="22" t="str">
        <f t="shared" ref="AN68:AN88" si="27">IF(H68="","",H68)</f>
        <v/>
      </c>
      <c r="AO68" s="21" t="str">
        <f>IF(AN68="","",VLOOKUP(AN68,'11. Lists'!$F$36:$H$38,2,FALSE))</f>
        <v/>
      </c>
      <c r="AP68" s="364" t="str">
        <f>IF(AN68="","",VLOOKUP(AN68,'11. Lists'!$F$36:$H$38,3,FALSE))</f>
        <v/>
      </c>
      <c r="AQ68" s="22" t="str">
        <f>IF(D68="","",IF(AX68="Distinctiveness","N/A",VLOOKUP(F68,'10. Condition and Temporal'!$B$6:$L$103,11,FALSE)))</f>
        <v/>
      </c>
      <c r="AR68" s="511" t="str">
        <f>IF(AQ68="","",IF(AQ68="N/A","1",VLOOKUP(AQ68,'11. Lists'!$I$47:$K$80,3,FALSE)))</f>
        <v/>
      </c>
      <c r="AS68" s="514" t="str">
        <f>IF(D68="","",IF(AX68="Condition","N/A",VLOOKUP(F68,'10. Condition and Temporal'!$B$6:$M$106,12,FALSE)))</f>
        <v/>
      </c>
      <c r="AT68" s="511" t="str">
        <f>IF(AS68="","",IF(AS68="N/A","1",VLOOKUP(AS68,'11. Lists'!$I$47:$K$80,3,FALSE)))</f>
        <v/>
      </c>
      <c r="AU68" s="22" t="str">
        <f>IF(D68="","",VLOOKUP(F68,'9. All Habitats + Multipliers'!$C$4:$K$102,8,FALSE))</f>
        <v/>
      </c>
      <c r="AV68" s="364" t="str">
        <f>IF(AU68="","",VLOOKUP(AU68,'11. Lists'!$J$35:$K$38,2,FALSE))</f>
        <v/>
      </c>
      <c r="AW68" s="502" t="str">
        <f>IF(D68="","",VLOOKUP(D68,'10. Condition and Temporal'!$B$6:$M$103,4,FALSE))</f>
        <v/>
      </c>
      <c r="AX68" s="502" t="str">
        <f t="shared" ref="AX68:AX87" si="28">IF(F68="","",IF(D68=F68,"Condition","Distinctiveness"))</f>
        <v/>
      </c>
      <c r="AY68" s="459" t="str">
        <f t="shared" ref="AY68:AY87" si="29">IF(COUNTIF(F68,"*grassland*"),"Grassland",IF(COUNTIF(F68,"*scree*"),"Sparsely vegetated land",C68))</f>
        <v/>
      </c>
      <c r="BA68" s="61">
        <v>1</v>
      </c>
      <c r="BB68" s="60" t="str">
        <f t="shared" ref="BB68:BB87" si="30">TRIM(MID(SUBSTITUTE($AW$68,$BA$64,REPT(" ",LEN($AW$68))),($BA68-1)*LEN($AW$68)+1,LEN($AW$68)))</f>
        <v/>
      </c>
      <c r="BC68" s="60" t="str">
        <f t="shared" ref="BC68:BC87" si="31">TRIM(MID(SUBSTITUTE($AW$69,$BA$64,REPT(" ",LEN($AW$69))),($BA68-1)*LEN($AW$69)+1,LEN($AW$69)))</f>
        <v/>
      </c>
      <c r="BD68" s="60" t="str">
        <f t="shared" ref="BD68:BD87" si="32">TRIM(MID(SUBSTITUTE($AW$70,$BA$64,REPT(" ",LEN($AW$70))),($BA68-1)*LEN($AW$70)+1,LEN($AW$70)))</f>
        <v/>
      </c>
      <c r="BE68" s="60" t="str">
        <f t="shared" ref="BE68:BE87" si="33">TRIM(MID(SUBSTITUTE($AW$71,$BA$64,REPT(" ",LEN($AW$71))),($BA68-1)*LEN($AW$71)+1,LEN($AW$71)))</f>
        <v/>
      </c>
      <c r="BF68" s="60" t="str">
        <f t="shared" ref="BF68:BF87" si="34">TRIM(MID(SUBSTITUTE($AW$72,$BA$64,REPT(" ",LEN($AW$72))),($BA68-1)*LEN($AW$72)+1,LEN($AW$72)))</f>
        <v/>
      </c>
      <c r="BG68" s="60" t="str">
        <f t="shared" ref="BG68:BG87" si="35">TRIM(MID(SUBSTITUTE($AW$73,$BA$64,REPT(" ",LEN($AW$73))),($BA68-1)*LEN($AW$73)+1,LEN($AW$73)))</f>
        <v/>
      </c>
      <c r="BH68" s="60" t="str">
        <f t="shared" ref="BH68:BH87" si="36">TRIM(MID(SUBSTITUTE($AW$74,$BA$64,REPT(" ",LEN($AW$74))),($BA68-1)*LEN($AW$74)+1,LEN($AW$74)))</f>
        <v/>
      </c>
      <c r="BI68" s="60" t="str">
        <f t="shared" ref="BI68:BI87" si="37">TRIM(MID(SUBSTITUTE($AW$75,$BA$64,REPT(" ",LEN($AW$75))),($BA68-1)*LEN($AW$75)+1,LEN($AW$75)))</f>
        <v/>
      </c>
      <c r="BJ68" s="60" t="str">
        <f t="shared" ref="BJ68:BJ87" si="38">TRIM(MID(SUBSTITUTE($AW$76,$BA$64,REPT(" ",LEN($AW$76))),($BA68-1)*LEN($AW$76)+1,LEN($AW$76)))</f>
        <v/>
      </c>
      <c r="BK68" s="60" t="str">
        <f t="shared" ref="BK68:BK87" si="39">TRIM(MID(SUBSTITUTE($AW$77,$BA$64,REPT(" ",LEN($AW$77))),($BA68-1)*LEN($AW$77)+1,LEN($AW$77)))</f>
        <v/>
      </c>
      <c r="BL68" s="60" t="str">
        <f t="shared" ref="BL68:BL87" si="40">TRIM(MID(SUBSTITUTE($AW$78,$BA$64,REPT(" ",LEN($AW$78))),($BA68-1)*LEN($AW$78)+1,LEN($AW$78)))</f>
        <v/>
      </c>
      <c r="BM68" s="60" t="str">
        <f t="shared" ref="BM68:BM87" si="41">TRIM(MID(SUBSTITUTE($AW$79,$BA$64,REPT(" ",LEN($AW$79))),($BA68-1)*LEN($AW$79)+1,LEN($AW$79)))</f>
        <v/>
      </c>
      <c r="BN68" s="60" t="str">
        <f t="shared" ref="BN68:BN87" si="42">TRIM(MID(SUBSTITUTE($AW$80,$BA$64,REPT(" ",LEN($AW$80))),($BA68-1)*LEN($AW$80)+1,LEN($AW$80)))</f>
        <v/>
      </c>
      <c r="BO68" s="60" t="str">
        <f t="shared" ref="BO68:BO87" si="43">TRIM(MID(SUBSTITUTE($AW$81,$BA$64,REPT(" ",LEN($AW$81))),($BA68-1)*LEN($AW$81)+1,LEN($AW$81)))</f>
        <v/>
      </c>
      <c r="BP68" s="60" t="str">
        <f t="shared" ref="BP68:BP87" si="44">TRIM(MID(SUBSTITUTE($AW$82,$BA$64,REPT(" ",LEN($AW$82))),($BA68-1)*LEN($AW$82)+1,LEN($AW$82)))</f>
        <v/>
      </c>
      <c r="BQ68" s="60" t="str">
        <f t="shared" ref="BQ68:BQ87" si="45">TRIM(MID(SUBSTITUTE($AW$83,$BA$64,REPT(" ",LEN($AW$83))),($BA68-1)*LEN($AW$83)+1,LEN($AW$83)))</f>
        <v/>
      </c>
      <c r="BR68" s="60" t="str">
        <f t="shared" ref="BR68:BR87" si="46">TRIM(MID(SUBSTITUTE($AW$84,$BA$64,REPT(" ",LEN($AW$84))),($BA68-1)*LEN($AW$84)+1,LEN($AW$84)))</f>
        <v/>
      </c>
      <c r="BS68" s="60" t="str">
        <f t="shared" ref="BS68:BS87" si="47">TRIM(MID(SUBSTITUTE($AW$85,$BA$64,REPT(" ",LEN($AW$85))),($BA68-1)*LEN($AW$85)+1,LEN($AW$85)))</f>
        <v/>
      </c>
      <c r="BT68" s="60" t="str">
        <f t="shared" ref="BT68:BT87" si="48">TRIM(MID(SUBSTITUTE($AW$86,$BA$64,REPT(" ",LEN($AW$86))),($BA68-1)*LEN($AW$86)+1,LEN($AW$86)))</f>
        <v/>
      </c>
      <c r="BU68" s="148" t="str">
        <f t="shared" ref="BU68:BU87" si="49">TRIM(MID(SUBSTITUTE($AW$87,$BA$64,REPT(" ",LEN($AW$87))),($BA68-1)*LEN($AW$87)+1,LEN($AW$87)))</f>
        <v/>
      </c>
      <c r="BV68" s="225" t="str">
        <f t="shared" ref="BV68:BV87" si="50">IF(BX68=0,"",CONCATENATE(BW68,"68:",BW68,BX68+67))</f>
        <v/>
      </c>
      <c r="BW68" s="60" t="s">
        <v>168</v>
      </c>
      <c r="BX68" s="60">
        <f>BB66</f>
        <v>0</v>
      </c>
    </row>
    <row r="69" spans="1:76" s="97" customFormat="1" ht="15.45" customHeight="1" x14ac:dyDescent="0.3">
      <c r="A69" s="147"/>
      <c r="B69" s="286">
        <v>2</v>
      </c>
      <c r="C69" s="164" t="str">
        <f t="shared" si="11"/>
        <v/>
      </c>
      <c r="D69" s="238" t="str">
        <f t="shared" si="12"/>
        <v/>
      </c>
      <c r="E69" s="208" t="str">
        <f t="shared" si="13"/>
        <v/>
      </c>
      <c r="F69" s="733"/>
      <c r="G69" s="734"/>
      <c r="H69" s="205" t="str">
        <f t="shared" si="14"/>
        <v/>
      </c>
      <c r="I69" s="335" t="str">
        <f t="shared" si="15"/>
        <v/>
      </c>
      <c r="J69" s="735" t="str">
        <f>IFERROR(IF(F69="","",VLOOKUP(F69,'10. Condition and Temporal'!$B$6:$F$103,5,FALSE)), "Error ▲")</f>
        <v/>
      </c>
      <c r="K69" s="736"/>
      <c r="L69" s="305" t="str">
        <f t="shared" si="16"/>
        <v/>
      </c>
      <c r="M69" s="737" t="str">
        <f t="shared" si="17"/>
        <v/>
      </c>
      <c r="N69" s="738"/>
      <c r="O69" s="133"/>
      <c r="P69" s="85"/>
      <c r="R69" s="649"/>
      <c r="T69" s="218" t="str">
        <f t="shared" si="18"/>
        <v/>
      </c>
      <c r="U69" s="159" t="str">
        <f t="shared" si="19"/>
        <v/>
      </c>
      <c r="V69" s="148" t="str">
        <f t="shared" si="20"/>
        <v/>
      </c>
      <c r="W69" s="61" t="str">
        <f t="shared" si="20"/>
        <v/>
      </c>
      <c r="X69" s="148" t="str">
        <f t="shared" si="20"/>
        <v/>
      </c>
      <c r="Y69" s="372"/>
      <c r="Z69" s="350"/>
      <c r="AA69" s="499"/>
      <c r="AB69" s="61" t="str">
        <f t="shared" si="21"/>
        <v/>
      </c>
      <c r="AC69" s="160" t="str">
        <f t="shared" si="22"/>
        <v/>
      </c>
      <c r="AD69" s="218" t="str">
        <f t="shared" si="23"/>
        <v/>
      </c>
      <c r="AE69" s="218" t="str">
        <f t="shared" si="24"/>
        <v/>
      </c>
      <c r="AF69" s="503" t="str">
        <f t="shared" si="25"/>
        <v/>
      </c>
      <c r="AG69" s="159" t="str">
        <f>IF(D69="","",VLOOKUP(F69,'9. All Habitats + Multipliers'!$C$4:$K$102,5,FALSE))</f>
        <v/>
      </c>
      <c r="AH69" s="351" t="str">
        <f>IF(AG69="","",VLOOKUP(AG69,'11. Lists'!$B$47:$D$49,2,FALSE))</f>
        <v/>
      </c>
      <c r="AI69" s="61" t="str">
        <f t="shared" si="26"/>
        <v/>
      </c>
      <c r="AJ69" s="148" t="str">
        <f>IF(AI69="","",VLOOKUP(AI69,'11. Lists'!$F$47:$G$51,2,FALSE))</f>
        <v/>
      </c>
      <c r="AK69" s="372"/>
      <c r="AL69" s="350"/>
      <c r="AM69" s="499"/>
      <c r="AN69" s="61" t="str">
        <f t="shared" si="27"/>
        <v/>
      </c>
      <c r="AO69" s="60" t="str">
        <f>IF(AN69="","",VLOOKUP(AN69,'11. Lists'!$F$36:$H$38,2,FALSE))</f>
        <v/>
      </c>
      <c r="AP69" s="148" t="str">
        <f>IF(AN69="","",VLOOKUP(AN69,'11. Lists'!$F$36:$H$38,3,FALSE))</f>
        <v/>
      </c>
      <c r="AQ69" s="159" t="str">
        <f>IF(D69="","",IF(AX69="Distinctiveness","N/A",VLOOKUP(F69,'10. Condition and Temporal'!$B$6:$L$103,11,FALSE)))</f>
        <v/>
      </c>
      <c r="AR69" s="163" t="str">
        <f>IF(AQ69="","",IF(AQ69="N/A","1",VLOOKUP(AQ69,'11. Lists'!$I$47:$K$80,3,FALSE)))</f>
        <v/>
      </c>
      <c r="AS69" s="515" t="str">
        <f>IF(D69="","",IF(AX69="Condition","N/A",VLOOKUP(F69,'10. Condition and Temporal'!$B$6:$M$106,12,FALSE)))</f>
        <v/>
      </c>
      <c r="AT69" s="163" t="str">
        <f>IF(AS69="","",IF(AS69="N/A","1",VLOOKUP(AS69,'11. Lists'!$I$47:$K$80,3,FALSE)))</f>
        <v/>
      </c>
      <c r="AU69" s="159" t="str">
        <f>IF(D69="","",VLOOKUP(F69,'9. All Habitats + Multipliers'!$C$4:$K$102,8,FALSE))</f>
        <v/>
      </c>
      <c r="AV69" s="160" t="str">
        <f>IF(AU69="","",VLOOKUP(AU69,'11. Lists'!$J$35:$K$38,2,FALSE))</f>
        <v/>
      </c>
      <c r="AW69" s="218" t="str">
        <f>IF(D69="","",VLOOKUP(D69,'10. Condition and Temporal'!$B$6:$M$103,4,FALSE))</f>
        <v/>
      </c>
      <c r="AX69" s="218" t="str">
        <f t="shared" si="28"/>
        <v/>
      </c>
      <c r="AY69" s="460" t="str">
        <f t="shared" si="29"/>
        <v/>
      </c>
      <c r="BA69" s="61">
        <v>2</v>
      </c>
      <c r="BB69" s="60" t="str">
        <f t="shared" si="30"/>
        <v/>
      </c>
      <c r="BC69" s="60" t="str">
        <f t="shared" si="31"/>
        <v/>
      </c>
      <c r="BD69" s="60" t="str">
        <f t="shared" si="32"/>
        <v/>
      </c>
      <c r="BE69" s="60" t="str">
        <f t="shared" si="33"/>
        <v/>
      </c>
      <c r="BF69" s="60" t="str">
        <f t="shared" si="34"/>
        <v/>
      </c>
      <c r="BG69" s="60" t="str">
        <f t="shared" si="35"/>
        <v/>
      </c>
      <c r="BH69" s="60" t="str">
        <f t="shared" si="36"/>
        <v/>
      </c>
      <c r="BI69" s="60" t="str">
        <f t="shared" si="37"/>
        <v/>
      </c>
      <c r="BJ69" s="60" t="str">
        <f t="shared" si="38"/>
        <v/>
      </c>
      <c r="BK69" s="60" t="str">
        <f t="shared" si="39"/>
        <v/>
      </c>
      <c r="BL69" s="60" t="str">
        <f t="shared" si="40"/>
        <v/>
      </c>
      <c r="BM69" s="60" t="str">
        <f t="shared" si="41"/>
        <v/>
      </c>
      <c r="BN69" s="60" t="str">
        <f t="shared" si="42"/>
        <v/>
      </c>
      <c r="BO69" s="60" t="str">
        <f t="shared" si="43"/>
        <v/>
      </c>
      <c r="BP69" s="60" t="str">
        <f t="shared" si="44"/>
        <v/>
      </c>
      <c r="BQ69" s="60" t="str">
        <f t="shared" si="45"/>
        <v/>
      </c>
      <c r="BR69" s="60" t="str">
        <f t="shared" si="46"/>
        <v/>
      </c>
      <c r="BS69" s="60" t="str">
        <f t="shared" si="47"/>
        <v/>
      </c>
      <c r="BT69" s="60" t="str">
        <f t="shared" si="48"/>
        <v/>
      </c>
      <c r="BU69" s="148" t="str">
        <f t="shared" si="49"/>
        <v/>
      </c>
      <c r="BV69" s="225" t="str">
        <f t="shared" si="50"/>
        <v/>
      </c>
      <c r="BW69" s="60" t="s">
        <v>169</v>
      </c>
      <c r="BX69" s="60">
        <f>BC66</f>
        <v>0</v>
      </c>
    </row>
    <row r="70" spans="1:76" s="97" customFormat="1" ht="15.45" customHeight="1" x14ac:dyDescent="0.3">
      <c r="A70" s="147"/>
      <c r="B70" s="286">
        <v>3</v>
      </c>
      <c r="C70" s="164" t="str">
        <f t="shared" si="11"/>
        <v/>
      </c>
      <c r="D70" s="238" t="str">
        <f t="shared" si="12"/>
        <v/>
      </c>
      <c r="E70" s="208" t="str">
        <f t="shared" si="13"/>
        <v/>
      </c>
      <c r="F70" s="733"/>
      <c r="G70" s="734"/>
      <c r="H70" s="205" t="str">
        <f t="shared" si="14"/>
        <v/>
      </c>
      <c r="I70" s="335" t="str">
        <f t="shared" si="15"/>
        <v/>
      </c>
      <c r="J70" s="735" t="str">
        <f>IFERROR(IF(F70="","",VLOOKUP(F70,'10. Condition and Temporal'!$B$6:$F$103,5,FALSE)), "Error ▲")</f>
        <v/>
      </c>
      <c r="K70" s="736"/>
      <c r="L70" s="305" t="str">
        <f t="shared" si="16"/>
        <v/>
      </c>
      <c r="M70" s="737" t="str">
        <f t="shared" si="17"/>
        <v/>
      </c>
      <c r="N70" s="738"/>
      <c r="O70" s="133"/>
      <c r="P70" s="85"/>
      <c r="R70" s="649"/>
      <c r="T70" s="218" t="str">
        <f t="shared" si="18"/>
        <v/>
      </c>
      <c r="U70" s="159" t="str">
        <f t="shared" si="19"/>
        <v/>
      </c>
      <c r="V70" s="148" t="str">
        <f t="shared" si="20"/>
        <v/>
      </c>
      <c r="W70" s="61" t="str">
        <f t="shared" si="20"/>
        <v/>
      </c>
      <c r="X70" s="148" t="str">
        <f t="shared" si="20"/>
        <v/>
      </c>
      <c r="Y70" s="372"/>
      <c r="Z70" s="350"/>
      <c r="AA70" s="499"/>
      <c r="AB70" s="61" t="str">
        <f t="shared" si="21"/>
        <v/>
      </c>
      <c r="AC70" s="160" t="str">
        <f t="shared" si="22"/>
        <v/>
      </c>
      <c r="AD70" s="218" t="str">
        <f t="shared" si="23"/>
        <v/>
      </c>
      <c r="AE70" s="218" t="str">
        <f t="shared" si="24"/>
        <v/>
      </c>
      <c r="AF70" s="503" t="str">
        <f t="shared" si="25"/>
        <v/>
      </c>
      <c r="AG70" s="159" t="str">
        <f>IF(D70="","",VLOOKUP(F70,'9. All Habitats + Multipliers'!$C$4:$K$102,5,FALSE))</f>
        <v/>
      </c>
      <c r="AH70" s="351" t="str">
        <f>IF(AG70="","",VLOOKUP(AG70,'11. Lists'!$B$47:$D$49,2,FALSE))</f>
        <v/>
      </c>
      <c r="AI70" s="61" t="str">
        <f t="shared" si="26"/>
        <v/>
      </c>
      <c r="AJ70" s="148" t="str">
        <f>IF(AI70="","",VLOOKUP(AI70,'11. Lists'!$F$47:$G$51,2,FALSE))</f>
        <v/>
      </c>
      <c r="AK70" s="372"/>
      <c r="AL70" s="350"/>
      <c r="AM70" s="499"/>
      <c r="AN70" s="61" t="str">
        <f t="shared" si="27"/>
        <v/>
      </c>
      <c r="AO70" s="60" t="str">
        <f>IF(AN70="","",VLOOKUP(AN70,'11. Lists'!$F$36:$H$38,2,FALSE))</f>
        <v/>
      </c>
      <c r="AP70" s="148" t="str">
        <f>IF(AN70="","",VLOOKUP(AN70,'11. Lists'!$F$36:$H$38,3,FALSE))</f>
        <v/>
      </c>
      <c r="AQ70" s="159" t="str">
        <f>IF(D70="","",IF(AX70="Distinctiveness","N/A",VLOOKUP(F70,'10. Condition and Temporal'!$B$6:$L$103,11,FALSE)))</f>
        <v/>
      </c>
      <c r="AR70" s="163" t="str">
        <f>IF(AQ70="","",IF(AQ70="N/A","1",VLOOKUP(AQ70,'11. Lists'!$I$47:$K$80,3,FALSE)))</f>
        <v/>
      </c>
      <c r="AS70" s="515" t="str">
        <f>IF(D70="","",IF(AX70="Condition","N/A",VLOOKUP(F70,'10. Condition and Temporal'!$B$6:$M$106,12,FALSE)))</f>
        <v/>
      </c>
      <c r="AT70" s="163" t="str">
        <f>IF(AS70="","",IF(AS70="N/A","1",VLOOKUP(AS70,'11. Lists'!$I$47:$K$80,3,FALSE)))</f>
        <v/>
      </c>
      <c r="AU70" s="159" t="str">
        <f>IF(D70="","",VLOOKUP(F70,'9. All Habitats + Multipliers'!$C$4:$K$102,8,FALSE))</f>
        <v/>
      </c>
      <c r="AV70" s="160" t="str">
        <f>IF(AU70="","",VLOOKUP(AU70,'11. Lists'!$J$35:$K$38,2,FALSE))</f>
        <v/>
      </c>
      <c r="AW70" s="218" t="str">
        <f>IF(D70="","",VLOOKUP(D70,'10. Condition and Temporal'!$B$6:$M$103,4,FALSE))</f>
        <v/>
      </c>
      <c r="AX70" s="218" t="str">
        <f t="shared" si="28"/>
        <v/>
      </c>
      <c r="AY70" s="460" t="str">
        <f t="shared" si="29"/>
        <v/>
      </c>
      <c r="BA70" s="61">
        <v>3</v>
      </c>
      <c r="BB70" s="60" t="str">
        <f t="shared" si="30"/>
        <v/>
      </c>
      <c r="BC70" s="60" t="str">
        <f t="shared" si="31"/>
        <v/>
      </c>
      <c r="BD70" s="60" t="str">
        <f t="shared" si="32"/>
        <v/>
      </c>
      <c r="BE70" s="60" t="str">
        <f t="shared" si="33"/>
        <v/>
      </c>
      <c r="BF70" s="60" t="str">
        <f t="shared" si="34"/>
        <v/>
      </c>
      <c r="BG70" s="60" t="str">
        <f t="shared" si="35"/>
        <v/>
      </c>
      <c r="BH70" s="60" t="str">
        <f t="shared" si="36"/>
        <v/>
      </c>
      <c r="BI70" s="60" t="str">
        <f t="shared" si="37"/>
        <v/>
      </c>
      <c r="BJ70" s="60" t="str">
        <f t="shared" si="38"/>
        <v/>
      </c>
      <c r="BK70" s="60" t="str">
        <f t="shared" si="39"/>
        <v/>
      </c>
      <c r="BL70" s="60" t="str">
        <f t="shared" si="40"/>
        <v/>
      </c>
      <c r="BM70" s="60" t="str">
        <f t="shared" si="41"/>
        <v/>
      </c>
      <c r="BN70" s="60" t="str">
        <f t="shared" si="42"/>
        <v/>
      </c>
      <c r="BO70" s="60" t="str">
        <f t="shared" si="43"/>
        <v/>
      </c>
      <c r="BP70" s="60" t="str">
        <f t="shared" si="44"/>
        <v/>
      </c>
      <c r="BQ70" s="60" t="str">
        <f t="shared" si="45"/>
        <v/>
      </c>
      <c r="BR70" s="60" t="str">
        <f t="shared" si="46"/>
        <v/>
      </c>
      <c r="BS70" s="60" t="str">
        <f t="shared" si="47"/>
        <v/>
      </c>
      <c r="BT70" s="60" t="str">
        <f t="shared" si="48"/>
        <v/>
      </c>
      <c r="BU70" s="148" t="str">
        <f t="shared" si="49"/>
        <v/>
      </c>
      <c r="BV70" s="225" t="str">
        <f t="shared" si="50"/>
        <v/>
      </c>
      <c r="BW70" s="60" t="s">
        <v>170</v>
      </c>
      <c r="BX70" s="60">
        <f>BD66</f>
        <v>0</v>
      </c>
    </row>
    <row r="71" spans="1:76" s="97" customFormat="1" ht="15.45" customHeight="1" x14ac:dyDescent="0.3">
      <c r="A71" s="147"/>
      <c r="B71" s="286">
        <v>4</v>
      </c>
      <c r="C71" s="164" t="str">
        <f t="shared" si="11"/>
        <v/>
      </c>
      <c r="D71" s="238" t="str">
        <f t="shared" si="12"/>
        <v/>
      </c>
      <c r="E71" s="208" t="str">
        <f t="shared" si="13"/>
        <v/>
      </c>
      <c r="F71" s="733"/>
      <c r="G71" s="734"/>
      <c r="H71" s="205" t="str">
        <f t="shared" si="14"/>
        <v/>
      </c>
      <c r="I71" s="335" t="str">
        <f t="shared" si="15"/>
        <v/>
      </c>
      <c r="J71" s="735" t="str">
        <f>IFERROR(IF(F71="","",VLOOKUP(F71,'10. Condition and Temporal'!$B$6:$F$103,5,FALSE)), "Error ▲")</f>
        <v/>
      </c>
      <c r="K71" s="736"/>
      <c r="L71" s="305" t="str">
        <f t="shared" si="16"/>
        <v/>
      </c>
      <c r="M71" s="737" t="str">
        <f t="shared" si="17"/>
        <v/>
      </c>
      <c r="N71" s="738"/>
      <c r="O71" s="133"/>
      <c r="P71" s="85"/>
      <c r="R71" s="649"/>
      <c r="T71" s="218" t="str">
        <f t="shared" si="18"/>
        <v/>
      </c>
      <c r="U71" s="159" t="str">
        <f t="shared" si="19"/>
        <v/>
      </c>
      <c r="V71" s="148" t="str">
        <f t="shared" si="20"/>
        <v/>
      </c>
      <c r="W71" s="61" t="str">
        <f t="shared" si="20"/>
        <v/>
      </c>
      <c r="X71" s="148" t="str">
        <f t="shared" si="20"/>
        <v/>
      </c>
      <c r="Y71" s="372"/>
      <c r="Z71" s="350"/>
      <c r="AA71" s="499"/>
      <c r="AB71" s="61" t="str">
        <f t="shared" si="21"/>
        <v/>
      </c>
      <c r="AC71" s="160" t="str">
        <f t="shared" si="22"/>
        <v/>
      </c>
      <c r="AD71" s="218" t="str">
        <f t="shared" si="23"/>
        <v/>
      </c>
      <c r="AE71" s="218" t="str">
        <f t="shared" si="24"/>
        <v/>
      </c>
      <c r="AF71" s="503" t="str">
        <f t="shared" si="25"/>
        <v/>
      </c>
      <c r="AG71" s="159" t="str">
        <f>IF(D71="","",VLOOKUP(F71,'9. All Habitats + Multipliers'!$C$4:$K$102,5,FALSE))</f>
        <v/>
      </c>
      <c r="AH71" s="351" t="str">
        <f>IF(AG71="","",VLOOKUP(AG71,'11. Lists'!$B$47:$D$49,2,FALSE))</f>
        <v/>
      </c>
      <c r="AI71" s="61" t="str">
        <f t="shared" si="26"/>
        <v/>
      </c>
      <c r="AJ71" s="148" t="str">
        <f>IF(AI71="","",VLOOKUP(AI71,'11. Lists'!$F$47:$G$51,2,FALSE))</f>
        <v/>
      </c>
      <c r="AK71" s="372"/>
      <c r="AL71" s="350"/>
      <c r="AM71" s="499"/>
      <c r="AN71" s="61" t="str">
        <f t="shared" si="27"/>
        <v/>
      </c>
      <c r="AO71" s="60" t="str">
        <f>IF(AN71="","",VLOOKUP(AN71,'11. Lists'!$F$36:$H$38,2,FALSE))</f>
        <v/>
      </c>
      <c r="AP71" s="148" t="str">
        <f>IF(AN71="","",VLOOKUP(AN71,'11. Lists'!$F$36:$H$38,3,FALSE))</f>
        <v/>
      </c>
      <c r="AQ71" s="159" t="str">
        <f>IF(D71="","",IF(AX71="Distinctiveness","N/A",VLOOKUP(F71,'10. Condition and Temporal'!$B$6:$L$103,11,FALSE)))</f>
        <v/>
      </c>
      <c r="AR71" s="163" t="str">
        <f>IF(AQ71="","",IF(AQ71="N/A","1",VLOOKUP(AQ71,'11. Lists'!$I$47:$K$80,3,FALSE)))</f>
        <v/>
      </c>
      <c r="AS71" s="515" t="str">
        <f>IF(D71="","",IF(AX71="Condition","N/A",VLOOKUP(F71,'10. Condition and Temporal'!$B$6:$M$106,12,FALSE)))</f>
        <v/>
      </c>
      <c r="AT71" s="163" t="str">
        <f>IF(AS71="","",IF(AS71="N/A","1",VLOOKUP(AS71,'11. Lists'!$I$47:$K$80,3,FALSE)))</f>
        <v/>
      </c>
      <c r="AU71" s="159" t="str">
        <f>IF(D71="","",VLOOKUP(F71,'9. All Habitats + Multipliers'!$C$4:$K$102,8,FALSE))</f>
        <v/>
      </c>
      <c r="AV71" s="160" t="str">
        <f>IF(AU71="","",VLOOKUP(AU71,'11. Lists'!$J$35:$K$38,2,FALSE))</f>
        <v/>
      </c>
      <c r="AW71" s="218" t="str">
        <f>IF(D71="","",VLOOKUP(D71,'10. Condition and Temporal'!$B$6:$M$103,4,FALSE))</f>
        <v/>
      </c>
      <c r="AX71" s="218" t="str">
        <f t="shared" si="28"/>
        <v/>
      </c>
      <c r="AY71" s="460" t="str">
        <f t="shared" si="29"/>
        <v/>
      </c>
      <c r="BA71" s="61">
        <v>4</v>
      </c>
      <c r="BB71" s="60" t="str">
        <f t="shared" si="30"/>
        <v/>
      </c>
      <c r="BC71" s="60" t="str">
        <f t="shared" si="31"/>
        <v/>
      </c>
      <c r="BD71" s="60" t="str">
        <f t="shared" si="32"/>
        <v/>
      </c>
      <c r="BE71" s="60" t="str">
        <f t="shared" si="33"/>
        <v/>
      </c>
      <c r="BF71" s="60" t="str">
        <f t="shared" si="34"/>
        <v/>
      </c>
      <c r="BG71" s="60" t="str">
        <f t="shared" si="35"/>
        <v/>
      </c>
      <c r="BH71" s="60" t="str">
        <f t="shared" si="36"/>
        <v/>
      </c>
      <c r="BI71" s="60" t="str">
        <f t="shared" si="37"/>
        <v/>
      </c>
      <c r="BJ71" s="60" t="str">
        <f t="shared" si="38"/>
        <v/>
      </c>
      <c r="BK71" s="60" t="str">
        <f t="shared" si="39"/>
        <v/>
      </c>
      <c r="BL71" s="60" t="str">
        <f t="shared" si="40"/>
        <v/>
      </c>
      <c r="BM71" s="60" t="str">
        <f t="shared" si="41"/>
        <v/>
      </c>
      <c r="BN71" s="60" t="str">
        <f t="shared" si="42"/>
        <v/>
      </c>
      <c r="BO71" s="60" t="str">
        <f t="shared" si="43"/>
        <v/>
      </c>
      <c r="BP71" s="60" t="str">
        <f t="shared" si="44"/>
        <v/>
      </c>
      <c r="BQ71" s="60" t="str">
        <f t="shared" si="45"/>
        <v/>
      </c>
      <c r="BR71" s="60" t="str">
        <f t="shared" si="46"/>
        <v/>
      </c>
      <c r="BS71" s="60" t="str">
        <f t="shared" si="47"/>
        <v/>
      </c>
      <c r="BT71" s="60" t="str">
        <f t="shared" si="48"/>
        <v/>
      </c>
      <c r="BU71" s="148" t="str">
        <f t="shared" si="49"/>
        <v/>
      </c>
      <c r="BV71" s="225" t="str">
        <f t="shared" si="50"/>
        <v/>
      </c>
      <c r="BW71" s="60" t="s">
        <v>171</v>
      </c>
      <c r="BX71" s="60">
        <f>BE66</f>
        <v>0</v>
      </c>
    </row>
    <row r="72" spans="1:76" s="97" customFormat="1" ht="15.45" customHeight="1" x14ac:dyDescent="0.3">
      <c r="A72" s="147"/>
      <c r="B72" s="286">
        <v>5</v>
      </c>
      <c r="C72" s="164" t="str">
        <f t="shared" si="11"/>
        <v/>
      </c>
      <c r="D72" s="238" t="str">
        <f t="shared" si="12"/>
        <v/>
      </c>
      <c r="E72" s="208" t="str">
        <f t="shared" si="13"/>
        <v/>
      </c>
      <c r="F72" s="733"/>
      <c r="G72" s="734"/>
      <c r="H72" s="205" t="str">
        <f t="shared" si="14"/>
        <v/>
      </c>
      <c r="I72" s="335" t="str">
        <f t="shared" si="15"/>
        <v/>
      </c>
      <c r="J72" s="735" t="str">
        <f>IFERROR(IF(F72="","",VLOOKUP(F72,'10. Condition and Temporal'!$B$6:$F$103,5,FALSE)), "Error ▲")</f>
        <v/>
      </c>
      <c r="K72" s="736"/>
      <c r="L72" s="305" t="str">
        <f t="shared" si="16"/>
        <v/>
      </c>
      <c r="M72" s="737" t="str">
        <f t="shared" si="17"/>
        <v/>
      </c>
      <c r="N72" s="738"/>
      <c r="O72" s="133"/>
      <c r="P72" s="85"/>
      <c r="R72" s="649"/>
      <c r="T72" s="218" t="str">
        <f t="shared" si="18"/>
        <v/>
      </c>
      <c r="U72" s="159" t="str">
        <f t="shared" si="19"/>
        <v/>
      </c>
      <c r="V72" s="148" t="str">
        <f t="shared" si="20"/>
        <v/>
      </c>
      <c r="W72" s="61" t="str">
        <f t="shared" si="20"/>
        <v/>
      </c>
      <c r="X72" s="148" t="str">
        <f t="shared" si="20"/>
        <v/>
      </c>
      <c r="Y72" s="372"/>
      <c r="Z72" s="350"/>
      <c r="AA72" s="499"/>
      <c r="AB72" s="61" t="str">
        <f t="shared" si="21"/>
        <v/>
      </c>
      <c r="AC72" s="160" t="str">
        <f t="shared" si="22"/>
        <v/>
      </c>
      <c r="AD72" s="218" t="str">
        <f t="shared" si="23"/>
        <v/>
      </c>
      <c r="AE72" s="218" t="str">
        <f t="shared" si="24"/>
        <v/>
      </c>
      <c r="AF72" s="503" t="str">
        <f t="shared" si="25"/>
        <v/>
      </c>
      <c r="AG72" s="159" t="str">
        <f>IF(D72="","",VLOOKUP(F72,'9. All Habitats + Multipliers'!$C$4:$K$102,5,FALSE))</f>
        <v/>
      </c>
      <c r="AH72" s="351" t="str">
        <f>IF(AG72="","",VLOOKUP(AG72,'11. Lists'!$B$47:$D$49,2,FALSE))</f>
        <v/>
      </c>
      <c r="AI72" s="61" t="str">
        <f t="shared" si="26"/>
        <v/>
      </c>
      <c r="AJ72" s="148" t="str">
        <f>IF(AI72="","",VLOOKUP(AI72,'11. Lists'!$F$47:$G$51,2,FALSE))</f>
        <v/>
      </c>
      <c r="AK72" s="372"/>
      <c r="AL72" s="350"/>
      <c r="AM72" s="499"/>
      <c r="AN72" s="61" t="str">
        <f t="shared" si="27"/>
        <v/>
      </c>
      <c r="AO72" s="60" t="str">
        <f>IF(AN72="","",VLOOKUP(AN72,'11. Lists'!$F$36:$H$38,2,FALSE))</f>
        <v/>
      </c>
      <c r="AP72" s="148" t="str">
        <f>IF(AN72="","",VLOOKUP(AN72,'11. Lists'!$F$36:$H$38,3,FALSE))</f>
        <v/>
      </c>
      <c r="AQ72" s="159" t="str">
        <f>IF(D72="","",IF(AX72="Distinctiveness","N/A",VLOOKUP(F72,'10. Condition and Temporal'!$B$6:$L$103,11,FALSE)))</f>
        <v/>
      </c>
      <c r="AR72" s="163" t="str">
        <f>IF(AQ72="","",IF(AQ72="N/A","1",VLOOKUP(AQ72,'11. Lists'!$I$47:$K$80,3,FALSE)))</f>
        <v/>
      </c>
      <c r="AS72" s="515" t="str">
        <f>IF(D72="","",IF(AX72="Condition","N/A",VLOOKUP(F72,'10. Condition and Temporal'!$B$6:$M$106,12,FALSE)))</f>
        <v/>
      </c>
      <c r="AT72" s="163" t="str">
        <f>IF(AS72="","",IF(AS72="N/A","1",VLOOKUP(AS72,'11. Lists'!$I$47:$K$80,3,FALSE)))</f>
        <v/>
      </c>
      <c r="AU72" s="159" t="str">
        <f>IF(D72="","",VLOOKUP(F72,'9. All Habitats + Multipliers'!$C$4:$K$102,8,FALSE))</f>
        <v/>
      </c>
      <c r="AV72" s="160" t="str">
        <f>IF(AU72="","",VLOOKUP(AU72,'11. Lists'!$J$35:$K$38,2,FALSE))</f>
        <v/>
      </c>
      <c r="AW72" s="218" t="str">
        <f>IF(D72="","",VLOOKUP(D72,'10. Condition and Temporal'!$B$6:$M$103,4,FALSE))</f>
        <v/>
      </c>
      <c r="AX72" s="218" t="str">
        <f t="shared" si="28"/>
        <v/>
      </c>
      <c r="AY72" s="460" t="str">
        <f t="shared" si="29"/>
        <v/>
      </c>
      <c r="BA72" s="61">
        <v>5</v>
      </c>
      <c r="BB72" s="60" t="str">
        <f t="shared" si="30"/>
        <v/>
      </c>
      <c r="BC72" s="60" t="str">
        <f t="shared" si="31"/>
        <v/>
      </c>
      <c r="BD72" s="60" t="str">
        <f t="shared" si="32"/>
        <v/>
      </c>
      <c r="BE72" s="60" t="str">
        <f t="shared" si="33"/>
        <v/>
      </c>
      <c r="BF72" s="60" t="str">
        <f t="shared" si="34"/>
        <v/>
      </c>
      <c r="BG72" s="60" t="str">
        <f t="shared" si="35"/>
        <v/>
      </c>
      <c r="BH72" s="60" t="str">
        <f t="shared" si="36"/>
        <v/>
      </c>
      <c r="BI72" s="60" t="str">
        <f t="shared" si="37"/>
        <v/>
      </c>
      <c r="BJ72" s="60" t="str">
        <f t="shared" si="38"/>
        <v/>
      </c>
      <c r="BK72" s="60" t="str">
        <f t="shared" si="39"/>
        <v/>
      </c>
      <c r="BL72" s="60" t="str">
        <f t="shared" si="40"/>
        <v/>
      </c>
      <c r="BM72" s="60" t="str">
        <f t="shared" si="41"/>
        <v/>
      </c>
      <c r="BN72" s="60" t="str">
        <f t="shared" si="42"/>
        <v/>
      </c>
      <c r="BO72" s="60" t="str">
        <f t="shared" si="43"/>
        <v/>
      </c>
      <c r="BP72" s="60" t="str">
        <f t="shared" si="44"/>
        <v/>
      </c>
      <c r="BQ72" s="60" t="str">
        <f t="shared" si="45"/>
        <v/>
      </c>
      <c r="BR72" s="60" t="str">
        <f t="shared" si="46"/>
        <v/>
      </c>
      <c r="BS72" s="60" t="str">
        <f t="shared" si="47"/>
        <v/>
      </c>
      <c r="BT72" s="60" t="str">
        <f t="shared" si="48"/>
        <v/>
      </c>
      <c r="BU72" s="148" t="str">
        <f t="shared" si="49"/>
        <v/>
      </c>
      <c r="BV72" s="225" t="str">
        <f t="shared" si="50"/>
        <v/>
      </c>
      <c r="BW72" s="60" t="s">
        <v>172</v>
      </c>
      <c r="BX72" s="60">
        <f>BF66</f>
        <v>0</v>
      </c>
    </row>
    <row r="73" spans="1:76" s="97" customFormat="1" ht="15.45" customHeight="1" x14ac:dyDescent="0.3">
      <c r="A73" s="147"/>
      <c r="B73" s="286">
        <v>6</v>
      </c>
      <c r="C73" s="164" t="str">
        <f t="shared" si="11"/>
        <v/>
      </c>
      <c r="D73" s="238" t="str">
        <f t="shared" si="12"/>
        <v/>
      </c>
      <c r="E73" s="208" t="str">
        <f t="shared" si="13"/>
        <v/>
      </c>
      <c r="F73" s="733"/>
      <c r="G73" s="734"/>
      <c r="H73" s="205" t="str">
        <f t="shared" si="14"/>
        <v/>
      </c>
      <c r="I73" s="335" t="str">
        <f t="shared" si="15"/>
        <v/>
      </c>
      <c r="J73" s="735" t="str">
        <f>IFERROR(IF(F73="","",VLOOKUP(F73,'10. Condition and Temporal'!$B$6:$F$103,5,FALSE)), "Error ▲")</f>
        <v/>
      </c>
      <c r="K73" s="736"/>
      <c r="L73" s="305" t="str">
        <f t="shared" si="16"/>
        <v/>
      </c>
      <c r="M73" s="737" t="str">
        <f t="shared" si="17"/>
        <v/>
      </c>
      <c r="N73" s="738"/>
      <c r="O73" s="133"/>
      <c r="P73" s="85"/>
      <c r="R73" s="649"/>
      <c r="T73" s="218" t="str">
        <f t="shared" si="18"/>
        <v/>
      </c>
      <c r="U73" s="159" t="str">
        <f t="shared" si="19"/>
        <v/>
      </c>
      <c r="V73" s="148" t="str">
        <f t="shared" si="20"/>
        <v/>
      </c>
      <c r="W73" s="61" t="str">
        <f t="shared" si="20"/>
        <v/>
      </c>
      <c r="X73" s="148" t="str">
        <f t="shared" si="20"/>
        <v/>
      </c>
      <c r="Y73" s="372"/>
      <c r="Z73" s="350"/>
      <c r="AA73" s="499"/>
      <c r="AB73" s="61" t="str">
        <f t="shared" si="21"/>
        <v/>
      </c>
      <c r="AC73" s="160" t="str">
        <f t="shared" si="22"/>
        <v/>
      </c>
      <c r="AD73" s="218" t="str">
        <f t="shared" si="23"/>
        <v/>
      </c>
      <c r="AE73" s="218" t="str">
        <f t="shared" si="24"/>
        <v/>
      </c>
      <c r="AF73" s="503" t="str">
        <f t="shared" si="25"/>
        <v/>
      </c>
      <c r="AG73" s="159" t="str">
        <f>IF(D73="","",VLOOKUP(F73,'9. All Habitats + Multipliers'!$C$4:$K$102,5,FALSE))</f>
        <v/>
      </c>
      <c r="AH73" s="351" t="str">
        <f>IF(AG73="","",VLOOKUP(AG73,'11. Lists'!$B$47:$D$49,2,FALSE))</f>
        <v/>
      </c>
      <c r="AI73" s="61" t="str">
        <f t="shared" si="26"/>
        <v/>
      </c>
      <c r="AJ73" s="148" t="str">
        <f>IF(AI73="","",VLOOKUP(AI73,'11. Lists'!$F$47:$G$51,2,FALSE))</f>
        <v/>
      </c>
      <c r="AK73" s="372"/>
      <c r="AL73" s="350"/>
      <c r="AM73" s="499"/>
      <c r="AN73" s="61" t="str">
        <f t="shared" si="27"/>
        <v/>
      </c>
      <c r="AO73" s="60" t="str">
        <f>IF(AN73="","",VLOOKUP(AN73,'11. Lists'!$F$36:$H$38,2,FALSE))</f>
        <v/>
      </c>
      <c r="AP73" s="148" t="str">
        <f>IF(AN73="","",VLOOKUP(AN73,'11. Lists'!$F$36:$H$38,3,FALSE))</f>
        <v/>
      </c>
      <c r="AQ73" s="159" t="str">
        <f>IF(D73="","",IF(AX73="Distinctiveness","N/A",VLOOKUP(F73,'10. Condition and Temporal'!$B$6:$L$103,11,FALSE)))</f>
        <v/>
      </c>
      <c r="AR73" s="163" t="str">
        <f>IF(AQ73="","",IF(AQ73="N/A","1",VLOOKUP(AQ73,'11. Lists'!$I$47:$K$80,3,FALSE)))</f>
        <v/>
      </c>
      <c r="AS73" s="515" t="str">
        <f>IF(D73="","",IF(AX73="Condition","N/A",VLOOKUP(F73,'10. Condition and Temporal'!$B$6:$M$106,12,FALSE)))</f>
        <v/>
      </c>
      <c r="AT73" s="163" t="str">
        <f>IF(AS73="","",IF(AS73="N/A","1",VLOOKUP(AS73,'11. Lists'!$I$47:$K$80,3,FALSE)))</f>
        <v/>
      </c>
      <c r="AU73" s="159" t="str">
        <f>IF(D73="","",VLOOKUP(F73,'9. All Habitats + Multipliers'!$C$4:$K$102,8,FALSE))</f>
        <v/>
      </c>
      <c r="AV73" s="160" t="str">
        <f>IF(AU73="","",VLOOKUP(AU73,'11. Lists'!$J$35:$K$38,2,FALSE))</f>
        <v/>
      </c>
      <c r="AW73" s="218" t="str">
        <f>IF(D73="","",VLOOKUP(D73,'10. Condition and Temporal'!$B$6:$M$103,4,FALSE))</f>
        <v/>
      </c>
      <c r="AX73" s="218" t="str">
        <f t="shared" si="28"/>
        <v/>
      </c>
      <c r="AY73" s="460" t="str">
        <f t="shared" si="29"/>
        <v/>
      </c>
      <c r="BA73" s="61">
        <v>6</v>
      </c>
      <c r="BB73" s="60" t="str">
        <f t="shared" si="30"/>
        <v/>
      </c>
      <c r="BC73" s="60" t="str">
        <f t="shared" si="31"/>
        <v/>
      </c>
      <c r="BD73" s="60" t="str">
        <f t="shared" si="32"/>
        <v/>
      </c>
      <c r="BE73" s="60" t="str">
        <f t="shared" si="33"/>
        <v/>
      </c>
      <c r="BF73" s="60" t="str">
        <f t="shared" si="34"/>
        <v/>
      </c>
      <c r="BG73" s="60" t="str">
        <f t="shared" si="35"/>
        <v/>
      </c>
      <c r="BH73" s="60" t="str">
        <f t="shared" si="36"/>
        <v/>
      </c>
      <c r="BI73" s="60" t="str">
        <f t="shared" si="37"/>
        <v/>
      </c>
      <c r="BJ73" s="60" t="str">
        <f t="shared" si="38"/>
        <v/>
      </c>
      <c r="BK73" s="60" t="str">
        <f t="shared" si="39"/>
        <v/>
      </c>
      <c r="BL73" s="60" t="str">
        <f t="shared" si="40"/>
        <v/>
      </c>
      <c r="BM73" s="60" t="str">
        <f t="shared" si="41"/>
        <v/>
      </c>
      <c r="BN73" s="60" t="str">
        <f t="shared" si="42"/>
        <v/>
      </c>
      <c r="BO73" s="60" t="str">
        <f t="shared" si="43"/>
        <v/>
      </c>
      <c r="BP73" s="60" t="str">
        <f t="shared" si="44"/>
        <v/>
      </c>
      <c r="BQ73" s="60" t="str">
        <f t="shared" si="45"/>
        <v/>
      </c>
      <c r="BR73" s="60" t="str">
        <f t="shared" si="46"/>
        <v/>
      </c>
      <c r="BS73" s="60" t="str">
        <f t="shared" si="47"/>
        <v/>
      </c>
      <c r="BT73" s="60" t="str">
        <f t="shared" si="48"/>
        <v/>
      </c>
      <c r="BU73" s="148" t="str">
        <f t="shared" si="49"/>
        <v/>
      </c>
      <c r="BV73" s="225" t="str">
        <f t="shared" si="50"/>
        <v/>
      </c>
      <c r="BW73" s="60" t="s">
        <v>173</v>
      </c>
      <c r="BX73" s="60">
        <f>BG66</f>
        <v>0</v>
      </c>
    </row>
    <row r="74" spans="1:76" s="97" customFormat="1" ht="15.45" customHeight="1" x14ac:dyDescent="0.3">
      <c r="A74" s="147"/>
      <c r="B74" s="286">
        <v>7</v>
      </c>
      <c r="C74" s="164" t="str">
        <f t="shared" si="11"/>
        <v/>
      </c>
      <c r="D74" s="238" t="str">
        <f t="shared" si="12"/>
        <v/>
      </c>
      <c r="E74" s="208" t="str">
        <f t="shared" si="13"/>
        <v/>
      </c>
      <c r="F74" s="733"/>
      <c r="G74" s="734"/>
      <c r="H74" s="205" t="str">
        <f t="shared" si="14"/>
        <v/>
      </c>
      <c r="I74" s="335" t="str">
        <f t="shared" si="15"/>
        <v/>
      </c>
      <c r="J74" s="735" t="str">
        <f>IFERROR(IF(F74="","",VLOOKUP(F74,'10. Condition and Temporal'!$B$6:$F$103,5,FALSE)), "Error ▲")</f>
        <v/>
      </c>
      <c r="K74" s="736"/>
      <c r="L74" s="305" t="str">
        <f t="shared" si="16"/>
        <v/>
      </c>
      <c r="M74" s="737" t="str">
        <f t="shared" si="17"/>
        <v/>
      </c>
      <c r="N74" s="738"/>
      <c r="O74" s="133"/>
      <c r="P74" s="85"/>
      <c r="R74" s="649"/>
      <c r="T74" s="218" t="str">
        <f t="shared" si="18"/>
        <v/>
      </c>
      <c r="U74" s="159" t="str">
        <f t="shared" si="19"/>
        <v/>
      </c>
      <c r="V74" s="148" t="str">
        <f t="shared" si="20"/>
        <v/>
      </c>
      <c r="W74" s="61" t="str">
        <f t="shared" si="20"/>
        <v/>
      </c>
      <c r="X74" s="148" t="str">
        <f t="shared" si="20"/>
        <v/>
      </c>
      <c r="Y74" s="372"/>
      <c r="Z74" s="350"/>
      <c r="AA74" s="499"/>
      <c r="AB74" s="61" t="str">
        <f t="shared" si="21"/>
        <v/>
      </c>
      <c r="AC74" s="160" t="str">
        <f t="shared" si="22"/>
        <v/>
      </c>
      <c r="AD74" s="218" t="str">
        <f t="shared" si="23"/>
        <v/>
      </c>
      <c r="AE74" s="218" t="str">
        <f t="shared" si="24"/>
        <v/>
      </c>
      <c r="AF74" s="503" t="str">
        <f t="shared" si="25"/>
        <v/>
      </c>
      <c r="AG74" s="159" t="str">
        <f>IF(D74="","",VLOOKUP(F74,'9. All Habitats + Multipliers'!$C$4:$K$102,5,FALSE))</f>
        <v/>
      </c>
      <c r="AH74" s="351" t="str">
        <f>IF(AG74="","",VLOOKUP(AG74,'11. Lists'!$B$47:$D$49,2,FALSE))</f>
        <v/>
      </c>
      <c r="AI74" s="61" t="str">
        <f t="shared" si="26"/>
        <v/>
      </c>
      <c r="AJ74" s="148" t="str">
        <f>IF(AI74="","",VLOOKUP(AI74,'11. Lists'!$F$47:$G$51,2,FALSE))</f>
        <v/>
      </c>
      <c r="AK74" s="372"/>
      <c r="AL74" s="350"/>
      <c r="AM74" s="499"/>
      <c r="AN74" s="61" t="str">
        <f t="shared" si="27"/>
        <v/>
      </c>
      <c r="AO74" s="60" t="str">
        <f>IF(AN74="","",VLOOKUP(AN74,'11. Lists'!$F$36:$H$38,2,FALSE))</f>
        <v/>
      </c>
      <c r="AP74" s="148" t="str">
        <f>IF(AN74="","",VLOOKUP(AN74,'11. Lists'!$F$36:$H$38,3,FALSE))</f>
        <v/>
      </c>
      <c r="AQ74" s="159" t="str">
        <f>IF(D74="","",IF(AX74="Distinctiveness","N/A",VLOOKUP(F74,'10. Condition and Temporal'!$B$6:$L$103,11,FALSE)))</f>
        <v/>
      </c>
      <c r="AR74" s="163" t="str">
        <f>IF(AQ74="","",IF(AQ74="N/A","1",VLOOKUP(AQ74,'11. Lists'!$I$47:$K$80,3,FALSE)))</f>
        <v/>
      </c>
      <c r="AS74" s="515" t="str">
        <f>IF(D74="","",IF(AX74="Condition","N/A",VLOOKUP(F74,'10. Condition and Temporal'!$B$6:$M$106,12,FALSE)))</f>
        <v/>
      </c>
      <c r="AT74" s="163" t="str">
        <f>IF(AS74="","",IF(AS74="N/A","1",VLOOKUP(AS74,'11. Lists'!$I$47:$K$80,3,FALSE)))</f>
        <v/>
      </c>
      <c r="AU74" s="159" t="str">
        <f>IF(D74="","",VLOOKUP(F74,'9. All Habitats + Multipliers'!$C$4:$K$102,8,FALSE))</f>
        <v/>
      </c>
      <c r="AV74" s="160" t="str">
        <f>IF(AU74="","",VLOOKUP(AU74,'11. Lists'!$J$35:$K$38,2,FALSE))</f>
        <v/>
      </c>
      <c r="AW74" s="218" t="str">
        <f>IF(D74="","",VLOOKUP(D74,'10. Condition and Temporal'!$B$6:$M$103,4,FALSE))</f>
        <v/>
      </c>
      <c r="AX74" s="218" t="str">
        <f t="shared" si="28"/>
        <v/>
      </c>
      <c r="AY74" s="460" t="str">
        <f t="shared" si="29"/>
        <v/>
      </c>
      <c r="BA74" s="61">
        <v>7</v>
      </c>
      <c r="BB74" s="60" t="str">
        <f t="shared" si="30"/>
        <v/>
      </c>
      <c r="BC74" s="60" t="str">
        <f t="shared" si="31"/>
        <v/>
      </c>
      <c r="BD74" s="60" t="str">
        <f t="shared" si="32"/>
        <v/>
      </c>
      <c r="BE74" s="60" t="str">
        <f t="shared" si="33"/>
        <v/>
      </c>
      <c r="BF74" s="60" t="str">
        <f t="shared" si="34"/>
        <v/>
      </c>
      <c r="BG74" s="60" t="str">
        <f t="shared" si="35"/>
        <v/>
      </c>
      <c r="BH74" s="60" t="str">
        <f t="shared" si="36"/>
        <v/>
      </c>
      <c r="BI74" s="60" t="str">
        <f t="shared" si="37"/>
        <v/>
      </c>
      <c r="BJ74" s="60" t="str">
        <f t="shared" si="38"/>
        <v/>
      </c>
      <c r="BK74" s="60" t="str">
        <f t="shared" si="39"/>
        <v/>
      </c>
      <c r="BL74" s="60" t="str">
        <f t="shared" si="40"/>
        <v/>
      </c>
      <c r="BM74" s="60" t="str">
        <f t="shared" si="41"/>
        <v/>
      </c>
      <c r="BN74" s="60" t="str">
        <f t="shared" si="42"/>
        <v/>
      </c>
      <c r="BO74" s="60" t="str">
        <f t="shared" si="43"/>
        <v/>
      </c>
      <c r="BP74" s="60" t="str">
        <f t="shared" si="44"/>
        <v/>
      </c>
      <c r="BQ74" s="60" t="str">
        <f t="shared" si="45"/>
        <v/>
      </c>
      <c r="BR74" s="60" t="str">
        <f t="shared" si="46"/>
        <v/>
      </c>
      <c r="BS74" s="60" t="str">
        <f t="shared" si="47"/>
        <v/>
      </c>
      <c r="BT74" s="60" t="str">
        <f t="shared" si="48"/>
        <v/>
      </c>
      <c r="BU74" s="148" t="str">
        <f t="shared" si="49"/>
        <v/>
      </c>
      <c r="BV74" s="225" t="str">
        <f t="shared" si="50"/>
        <v/>
      </c>
      <c r="BW74" s="60" t="s">
        <v>174</v>
      </c>
      <c r="BX74" s="60">
        <f>BH66</f>
        <v>0</v>
      </c>
    </row>
    <row r="75" spans="1:76" s="97" customFormat="1" ht="15.45" customHeight="1" x14ac:dyDescent="0.3">
      <c r="A75" s="147"/>
      <c r="B75" s="286">
        <v>8</v>
      </c>
      <c r="C75" s="164" t="str">
        <f t="shared" si="11"/>
        <v/>
      </c>
      <c r="D75" s="238" t="str">
        <f t="shared" si="12"/>
        <v/>
      </c>
      <c r="E75" s="208" t="str">
        <f t="shared" si="13"/>
        <v/>
      </c>
      <c r="F75" s="733"/>
      <c r="G75" s="734"/>
      <c r="H75" s="205" t="str">
        <f t="shared" si="14"/>
        <v/>
      </c>
      <c r="I75" s="335" t="str">
        <f t="shared" si="15"/>
        <v/>
      </c>
      <c r="J75" s="735" t="str">
        <f>IFERROR(IF(F75="","",VLOOKUP(F75,'10. Condition and Temporal'!$B$6:$F$103,5,FALSE)), "Error ▲")</f>
        <v/>
      </c>
      <c r="K75" s="736"/>
      <c r="L75" s="305" t="str">
        <f t="shared" si="16"/>
        <v/>
      </c>
      <c r="M75" s="737" t="str">
        <f t="shared" si="17"/>
        <v/>
      </c>
      <c r="N75" s="738"/>
      <c r="O75" s="133"/>
      <c r="P75" s="85"/>
      <c r="R75" s="649"/>
      <c r="T75" s="218" t="str">
        <f t="shared" si="18"/>
        <v/>
      </c>
      <c r="U75" s="159" t="str">
        <f t="shared" si="19"/>
        <v/>
      </c>
      <c r="V75" s="148" t="str">
        <f t="shared" si="20"/>
        <v/>
      </c>
      <c r="W75" s="61" t="str">
        <f t="shared" si="20"/>
        <v/>
      </c>
      <c r="X75" s="148" t="str">
        <f t="shared" si="20"/>
        <v/>
      </c>
      <c r="Y75" s="372"/>
      <c r="Z75" s="350"/>
      <c r="AA75" s="499"/>
      <c r="AB75" s="61" t="str">
        <f t="shared" si="21"/>
        <v/>
      </c>
      <c r="AC75" s="160" t="str">
        <f t="shared" si="22"/>
        <v/>
      </c>
      <c r="AD75" s="218" t="str">
        <f t="shared" si="23"/>
        <v/>
      </c>
      <c r="AE75" s="218" t="str">
        <f t="shared" si="24"/>
        <v/>
      </c>
      <c r="AF75" s="503" t="str">
        <f t="shared" si="25"/>
        <v/>
      </c>
      <c r="AG75" s="159" t="str">
        <f>IF(D75="","",VLOOKUP(F75,'9. All Habitats + Multipliers'!$C$4:$K$102,5,FALSE))</f>
        <v/>
      </c>
      <c r="AH75" s="351" t="str">
        <f>IF(AG75="","",VLOOKUP(AG75,'11. Lists'!$B$47:$D$49,2,FALSE))</f>
        <v/>
      </c>
      <c r="AI75" s="61" t="str">
        <f t="shared" si="26"/>
        <v/>
      </c>
      <c r="AJ75" s="148" t="str">
        <f>IF(AI75="","",VLOOKUP(AI75,'11. Lists'!$F$47:$G$51,2,FALSE))</f>
        <v/>
      </c>
      <c r="AK75" s="372"/>
      <c r="AL75" s="350"/>
      <c r="AM75" s="499"/>
      <c r="AN75" s="61" t="str">
        <f t="shared" si="27"/>
        <v/>
      </c>
      <c r="AO75" s="60" t="str">
        <f>IF(AN75="","",VLOOKUP(AN75,'11. Lists'!$F$36:$H$38,2,FALSE))</f>
        <v/>
      </c>
      <c r="AP75" s="148" t="str">
        <f>IF(AN75="","",VLOOKUP(AN75,'11. Lists'!$F$36:$H$38,3,FALSE))</f>
        <v/>
      </c>
      <c r="AQ75" s="159" t="str">
        <f>IF(D75="","",IF(AX75="Distinctiveness","N/A",VLOOKUP(F75,'10. Condition and Temporal'!$B$6:$L$103,11,FALSE)))</f>
        <v/>
      </c>
      <c r="AR75" s="163" t="str">
        <f>IF(AQ75="","",IF(AQ75="N/A","1",VLOOKUP(AQ75,'11. Lists'!$I$47:$K$80,3,FALSE)))</f>
        <v/>
      </c>
      <c r="AS75" s="515" t="str">
        <f>IF(D75="","",IF(AX75="Condition","N/A",VLOOKUP(F75,'10. Condition and Temporal'!$B$6:$M$106,12,FALSE)))</f>
        <v/>
      </c>
      <c r="AT75" s="163" t="str">
        <f>IF(AS75="","",IF(AS75="N/A","1",VLOOKUP(AS75,'11. Lists'!$I$47:$K$80,3,FALSE)))</f>
        <v/>
      </c>
      <c r="AU75" s="159" t="str">
        <f>IF(D75="","",VLOOKUP(F75,'9. All Habitats + Multipliers'!$C$4:$K$102,8,FALSE))</f>
        <v/>
      </c>
      <c r="AV75" s="160" t="str">
        <f>IF(AU75="","",VLOOKUP(AU75,'11. Lists'!$J$35:$K$38,2,FALSE))</f>
        <v/>
      </c>
      <c r="AW75" s="218" t="str">
        <f>IF(D75="","",VLOOKUP(D75,'10. Condition and Temporal'!$B$6:$M$103,4,FALSE))</f>
        <v/>
      </c>
      <c r="AX75" s="218" t="str">
        <f t="shared" si="28"/>
        <v/>
      </c>
      <c r="AY75" s="460" t="str">
        <f t="shared" si="29"/>
        <v/>
      </c>
      <c r="BA75" s="61">
        <v>8</v>
      </c>
      <c r="BB75" s="60" t="str">
        <f t="shared" si="30"/>
        <v/>
      </c>
      <c r="BC75" s="60" t="str">
        <f t="shared" si="31"/>
        <v/>
      </c>
      <c r="BD75" s="60" t="str">
        <f t="shared" si="32"/>
        <v/>
      </c>
      <c r="BE75" s="60" t="str">
        <f t="shared" si="33"/>
        <v/>
      </c>
      <c r="BF75" s="60" t="str">
        <f t="shared" si="34"/>
        <v/>
      </c>
      <c r="BG75" s="60" t="str">
        <f t="shared" si="35"/>
        <v/>
      </c>
      <c r="BH75" s="60" t="str">
        <f t="shared" si="36"/>
        <v/>
      </c>
      <c r="BI75" s="60" t="str">
        <f t="shared" si="37"/>
        <v/>
      </c>
      <c r="BJ75" s="60" t="str">
        <f t="shared" si="38"/>
        <v/>
      </c>
      <c r="BK75" s="60" t="str">
        <f t="shared" si="39"/>
        <v/>
      </c>
      <c r="BL75" s="60" t="str">
        <f t="shared" si="40"/>
        <v/>
      </c>
      <c r="BM75" s="60" t="str">
        <f t="shared" si="41"/>
        <v/>
      </c>
      <c r="BN75" s="60" t="str">
        <f t="shared" si="42"/>
        <v/>
      </c>
      <c r="BO75" s="60" t="str">
        <f t="shared" si="43"/>
        <v/>
      </c>
      <c r="BP75" s="60" t="str">
        <f t="shared" si="44"/>
        <v/>
      </c>
      <c r="BQ75" s="60" t="str">
        <f t="shared" si="45"/>
        <v/>
      </c>
      <c r="BR75" s="60" t="str">
        <f t="shared" si="46"/>
        <v/>
      </c>
      <c r="BS75" s="60" t="str">
        <f t="shared" si="47"/>
        <v/>
      </c>
      <c r="BT75" s="60" t="str">
        <f t="shared" si="48"/>
        <v/>
      </c>
      <c r="BU75" s="148" t="str">
        <f t="shared" si="49"/>
        <v/>
      </c>
      <c r="BV75" s="225" t="str">
        <f t="shared" si="50"/>
        <v/>
      </c>
      <c r="BW75" s="60" t="s">
        <v>175</v>
      </c>
      <c r="BX75" s="60">
        <f>BI66</f>
        <v>0</v>
      </c>
    </row>
    <row r="76" spans="1:76" s="97" customFormat="1" ht="15.45" customHeight="1" x14ac:dyDescent="0.3">
      <c r="A76" s="147"/>
      <c r="B76" s="286">
        <v>9</v>
      </c>
      <c r="C76" s="164" t="str">
        <f t="shared" si="11"/>
        <v/>
      </c>
      <c r="D76" s="238" t="str">
        <f t="shared" si="12"/>
        <v/>
      </c>
      <c r="E76" s="208" t="str">
        <f t="shared" si="13"/>
        <v/>
      </c>
      <c r="F76" s="733"/>
      <c r="G76" s="734"/>
      <c r="H76" s="205" t="str">
        <f t="shared" si="14"/>
        <v/>
      </c>
      <c r="I76" s="335" t="str">
        <f t="shared" si="15"/>
        <v/>
      </c>
      <c r="J76" s="735" t="str">
        <f>IFERROR(IF(F76="","",VLOOKUP(F76,'10. Condition and Temporal'!$B$6:$F$103,5,FALSE)), "Error ▲")</f>
        <v/>
      </c>
      <c r="K76" s="736"/>
      <c r="L76" s="305" t="str">
        <f t="shared" si="16"/>
        <v/>
      </c>
      <c r="M76" s="737" t="str">
        <f t="shared" si="17"/>
        <v/>
      </c>
      <c r="N76" s="738"/>
      <c r="O76" s="133"/>
      <c r="P76" s="85"/>
      <c r="R76" s="649"/>
      <c r="T76" s="218" t="str">
        <f t="shared" si="18"/>
        <v/>
      </c>
      <c r="U76" s="159" t="str">
        <f t="shared" si="19"/>
        <v/>
      </c>
      <c r="V76" s="148" t="str">
        <f t="shared" si="20"/>
        <v/>
      </c>
      <c r="W76" s="61" t="str">
        <f t="shared" si="20"/>
        <v/>
      </c>
      <c r="X76" s="148" t="str">
        <f t="shared" si="20"/>
        <v/>
      </c>
      <c r="Y76" s="372"/>
      <c r="Z76" s="350"/>
      <c r="AA76" s="499"/>
      <c r="AB76" s="61" t="str">
        <f t="shared" si="21"/>
        <v/>
      </c>
      <c r="AC76" s="160" t="str">
        <f t="shared" si="22"/>
        <v/>
      </c>
      <c r="AD76" s="218" t="str">
        <f t="shared" si="23"/>
        <v/>
      </c>
      <c r="AE76" s="218" t="str">
        <f t="shared" si="24"/>
        <v/>
      </c>
      <c r="AF76" s="503" t="str">
        <f t="shared" si="25"/>
        <v/>
      </c>
      <c r="AG76" s="159" t="str">
        <f>IF(D76="","",VLOOKUP(F76,'9. All Habitats + Multipliers'!$C$4:$K$102,5,FALSE))</f>
        <v/>
      </c>
      <c r="AH76" s="351" t="str">
        <f>IF(AG76="","",VLOOKUP(AG76,'11. Lists'!$B$47:$D$49,2,FALSE))</f>
        <v/>
      </c>
      <c r="AI76" s="61" t="str">
        <f t="shared" si="26"/>
        <v/>
      </c>
      <c r="AJ76" s="148" t="str">
        <f>IF(AI76="","",VLOOKUP(AI76,'11. Lists'!$F$47:$G$51,2,FALSE))</f>
        <v/>
      </c>
      <c r="AK76" s="372"/>
      <c r="AL76" s="350"/>
      <c r="AM76" s="499"/>
      <c r="AN76" s="61" t="str">
        <f t="shared" si="27"/>
        <v/>
      </c>
      <c r="AO76" s="60" t="str">
        <f>IF(AN76="","",VLOOKUP(AN76,'11. Lists'!$F$36:$H$38,2,FALSE))</f>
        <v/>
      </c>
      <c r="AP76" s="148" t="str">
        <f>IF(AN76="","",VLOOKUP(AN76,'11. Lists'!$F$36:$H$38,3,FALSE))</f>
        <v/>
      </c>
      <c r="AQ76" s="159" t="str">
        <f>IF(D76="","",IF(AX76="Distinctiveness","N/A",VLOOKUP(F76,'10. Condition and Temporal'!$B$6:$L$103,11,FALSE)))</f>
        <v/>
      </c>
      <c r="AR76" s="163" t="str">
        <f>IF(AQ76="","",IF(AQ76="N/A","1",VLOOKUP(AQ76,'11. Lists'!$I$47:$K$80,3,FALSE)))</f>
        <v/>
      </c>
      <c r="AS76" s="515" t="str">
        <f>IF(D76="","",IF(AX76="Condition","N/A",VLOOKUP(F76,'10. Condition and Temporal'!$B$6:$M$106,12,FALSE)))</f>
        <v/>
      </c>
      <c r="AT76" s="163" t="str">
        <f>IF(AS76="","",IF(AS76="N/A","1",VLOOKUP(AS76,'11. Lists'!$I$47:$K$80,3,FALSE)))</f>
        <v/>
      </c>
      <c r="AU76" s="159" t="str">
        <f>IF(D76="","",VLOOKUP(F76,'9. All Habitats + Multipliers'!$C$4:$K$102,8,FALSE))</f>
        <v/>
      </c>
      <c r="AV76" s="160" t="str">
        <f>IF(AU76="","",VLOOKUP(AU76,'11. Lists'!$J$35:$K$38,2,FALSE))</f>
        <v/>
      </c>
      <c r="AW76" s="218" t="str">
        <f>IF(D76="","",VLOOKUP(D76,'10. Condition and Temporal'!$B$6:$M$103,4,FALSE))</f>
        <v/>
      </c>
      <c r="AX76" s="218" t="str">
        <f t="shared" si="28"/>
        <v/>
      </c>
      <c r="AY76" s="460" t="str">
        <f t="shared" si="29"/>
        <v/>
      </c>
      <c r="BA76" s="61">
        <v>9</v>
      </c>
      <c r="BB76" s="60" t="str">
        <f t="shared" si="30"/>
        <v/>
      </c>
      <c r="BC76" s="60" t="str">
        <f t="shared" si="31"/>
        <v/>
      </c>
      <c r="BD76" s="60" t="str">
        <f t="shared" si="32"/>
        <v/>
      </c>
      <c r="BE76" s="60" t="str">
        <f t="shared" si="33"/>
        <v/>
      </c>
      <c r="BF76" s="60" t="str">
        <f t="shared" si="34"/>
        <v/>
      </c>
      <c r="BG76" s="60" t="str">
        <f t="shared" si="35"/>
        <v/>
      </c>
      <c r="BH76" s="60" t="str">
        <f t="shared" si="36"/>
        <v/>
      </c>
      <c r="BI76" s="60" t="str">
        <f t="shared" si="37"/>
        <v/>
      </c>
      <c r="BJ76" s="60" t="str">
        <f t="shared" si="38"/>
        <v/>
      </c>
      <c r="BK76" s="60" t="str">
        <f t="shared" si="39"/>
        <v/>
      </c>
      <c r="BL76" s="60" t="str">
        <f t="shared" si="40"/>
        <v/>
      </c>
      <c r="BM76" s="60" t="str">
        <f t="shared" si="41"/>
        <v/>
      </c>
      <c r="BN76" s="60" t="str">
        <f t="shared" si="42"/>
        <v/>
      </c>
      <c r="BO76" s="60" t="str">
        <f t="shared" si="43"/>
        <v/>
      </c>
      <c r="BP76" s="60" t="str">
        <f t="shared" si="44"/>
        <v/>
      </c>
      <c r="BQ76" s="60" t="str">
        <f t="shared" si="45"/>
        <v/>
      </c>
      <c r="BR76" s="60" t="str">
        <f t="shared" si="46"/>
        <v/>
      </c>
      <c r="BS76" s="60" t="str">
        <f t="shared" si="47"/>
        <v/>
      </c>
      <c r="BT76" s="60" t="str">
        <f t="shared" si="48"/>
        <v/>
      </c>
      <c r="BU76" s="148" t="str">
        <f t="shared" si="49"/>
        <v/>
      </c>
      <c r="BV76" s="225" t="str">
        <f t="shared" si="50"/>
        <v/>
      </c>
      <c r="BW76" s="60" t="s">
        <v>176</v>
      </c>
      <c r="BX76" s="60">
        <f>BJ66</f>
        <v>0</v>
      </c>
    </row>
    <row r="77" spans="1:76" s="97" customFormat="1" ht="15.45" customHeight="1" x14ac:dyDescent="0.3">
      <c r="A77" s="147"/>
      <c r="B77" s="286">
        <v>10</v>
      </c>
      <c r="C77" s="164" t="str">
        <f t="shared" si="11"/>
        <v/>
      </c>
      <c r="D77" s="238" t="str">
        <f t="shared" si="12"/>
        <v/>
      </c>
      <c r="E77" s="208" t="str">
        <f t="shared" si="13"/>
        <v/>
      </c>
      <c r="F77" s="733"/>
      <c r="G77" s="734"/>
      <c r="H77" s="205" t="str">
        <f t="shared" si="14"/>
        <v/>
      </c>
      <c r="I77" s="335" t="str">
        <f t="shared" si="15"/>
        <v/>
      </c>
      <c r="J77" s="735" t="str">
        <f>IFERROR(IF(F77="","",VLOOKUP(F77,'10. Condition and Temporal'!$B$6:$F$103,5,FALSE)), "Error ▲")</f>
        <v/>
      </c>
      <c r="K77" s="736"/>
      <c r="L77" s="305" t="str">
        <f t="shared" si="16"/>
        <v/>
      </c>
      <c r="M77" s="737" t="str">
        <f t="shared" si="17"/>
        <v/>
      </c>
      <c r="N77" s="738"/>
      <c r="O77" s="133"/>
      <c r="P77" s="85"/>
      <c r="R77" s="649"/>
      <c r="T77" s="218" t="str">
        <f t="shared" si="18"/>
        <v/>
      </c>
      <c r="U77" s="159" t="str">
        <f t="shared" si="19"/>
        <v/>
      </c>
      <c r="V77" s="148" t="str">
        <f t="shared" si="20"/>
        <v/>
      </c>
      <c r="W77" s="61" t="str">
        <f t="shared" si="20"/>
        <v/>
      </c>
      <c r="X77" s="148" t="str">
        <f t="shared" si="20"/>
        <v/>
      </c>
      <c r="Y77" s="372"/>
      <c r="Z77" s="350"/>
      <c r="AA77" s="499"/>
      <c r="AB77" s="61" t="str">
        <f t="shared" si="21"/>
        <v/>
      </c>
      <c r="AC77" s="160" t="str">
        <f t="shared" si="22"/>
        <v/>
      </c>
      <c r="AD77" s="218" t="str">
        <f t="shared" si="23"/>
        <v/>
      </c>
      <c r="AE77" s="218" t="str">
        <f t="shared" si="24"/>
        <v/>
      </c>
      <c r="AF77" s="503" t="str">
        <f t="shared" si="25"/>
        <v/>
      </c>
      <c r="AG77" s="159" t="str">
        <f>IF(D77="","",VLOOKUP(F77,'9. All Habitats + Multipliers'!$C$4:$K$102,5,FALSE))</f>
        <v/>
      </c>
      <c r="AH77" s="351" t="str">
        <f>IF(AG77="","",VLOOKUP(AG77,'11. Lists'!$B$47:$D$49,2,FALSE))</f>
        <v/>
      </c>
      <c r="AI77" s="61" t="str">
        <f t="shared" si="26"/>
        <v/>
      </c>
      <c r="AJ77" s="148" t="str">
        <f>IF(AI77="","",VLOOKUP(AI77,'11. Lists'!$F$47:$G$51,2,FALSE))</f>
        <v/>
      </c>
      <c r="AK77" s="372"/>
      <c r="AL77" s="350"/>
      <c r="AM77" s="499"/>
      <c r="AN77" s="61" t="str">
        <f t="shared" si="27"/>
        <v/>
      </c>
      <c r="AO77" s="60" t="str">
        <f>IF(AN77="","",VLOOKUP(AN77,'11. Lists'!$F$36:$H$38,2,FALSE))</f>
        <v/>
      </c>
      <c r="AP77" s="148" t="str">
        <f>IF(AN77="","",VLOOKUP(AN77,'11. Lists'!$F$36:$H$38,3,FALSE))</f>
        <v/>
      </c>
      <c r="AQ77" s="159" t="str">
        <f>IF(D77="","",IF(AX77="Distinctiveness","N/A",VLOOKUP(F77,'10. Condition and Temporal'!$B$6:$L$103,11,FALSE)))</f>
        <v/>
      </c>
      <c r="AR77" s="163" t="str">
        <f>IF(AQ77="","",IF(AQ77="N/A","1",VLOOKUP(AQ77,'11. Lists'!$I$47:$K$80,3,FALSE)))</f>
        <v/>
      </c>
      <c r="AS77" s="515" t="str">
        <f>IF(D77="","",IF(AX77="Condition","N/A",VLOOKUP(F77,'10. Condition and Temporal'!$B$6:$M$106,12,FALSE)))</f>
        <v/>
      </c>
      <c r="AT77" s="163" t="str">
        <f>IF(AS77="","",IF(AS77="N/A","1",VLOOKUP(AS77,'11. Lists'!$I$47:$K$80,3,FALSE)))</f>
        <v/>
      </c>
      <c r="AU77" s="159" t="str">
        <f>IF(D77="","",VLOOKUP(F77,'9. All Habitats + Multipliers'!$C$4:$K$102,8,FALSE))</f>
        <v/>
      </c>
      <c r="AV77" s="160" t="str">
        <f>IF(AU77="","",VLOOKUP(AU77,'11. Lists'!$J$35:$K$38,2,FALSE))</f>
        <v/>
      </c>
      <c r="AW77" s="218" t="str">
        <f>IF(D77="","",VLOOKUP(D77,'10. Condition and Temporal'!$B$6:$M$103,4,FALSE))</f>
        <v/>
      </c>
      <c r="AX77" s="218" t="str">
        <f t="shared" si="28"/>
        <v/>
      </c>
      <c r="AY77" s="460" t="str">
        <f t="shared" si="29"/>
        <v/>
      </c>
      <c r="BA77" s="61">
        <v>10</v>
      </c>
      <c r="BB77" s="60" t="str">
        <f t="shared" si="30"/>
        <v/>
      </c>
      <c r="BC77" s="60" t="str">
        <f t="shared" si="31"/>
        <v/>
      </c>
      <c r="BD77" s="60" t="str">
        <f t="shared" si="32"/>
        <v/>
      </c>
      <c r="BE77" s="60" t="str">
        <f t="shared" si="33"/>
        <v/>
      </c>
      <c r="BF77" s="60" t="str">
        <f t="shared" si="34"/>
        <v/>
      </c>
      <c r="BG77" s="60" t="str">
        <f t="shared" si="35"/>
        <v/>
      </c>
      <c r="BH77" s="60" t="str">
        <f t="shared" si="36"/>
        <v/>
      </c>
      <c r="BI77" s="60" t="str">
        <f t="shared" si="37"/>
        <v/>
      </c>
      <c r="BJ77" s="60" t="str">
        <f t="shared" si="38"/>
        <v/>
      </c>
      <c r="BK77" s="60" t="str">
        <f t="shared" si="39"/>
        <v/>
      </c>
      <c r="BL77" s="60" t="str">
        <f t="shared" si="40"/>
        <v/>
      </c>
      <c r="BM77" s="60" t="str">
        <f t="shared" si="41"/>
        <v/>
      </c>
      <c r="BN77" s="60" t="str">
        <f t="shared" si="42"/>
        <v/>
      </c>
      <c r="BO77" s="60" t="str">
        <f t="shared" si="43"/>
        <v/>
      </c>
      <c r="BP77" s="60" t="str">
        <f t="shared" si="44"/>
        <v/>
      </c>
      <c r="BQ77" s="60" t="str">
        <f t="shared" si="45"/>
        <v/>
      </c>
      <c r="BR77" s="60" t="str">
        <f t="shared" si="46"/>
        <v/>
      </c>
      <c r="BS77" s="60" t="str">
        <f t="shared" si="47"/>
        <v/>
      </c>
      <c r="BT77" s="60" t="str">
        <f t="shared" si="48"/>
        <v/>
      </c>
      <c r="BU77" s="148" t="str">
        <f t="shared" si="49"/>
        <v/>
      </c>
      <c r="BV77" s="225" t="str">
        <f t="shared" si="50"/>
        <v/>
      </c>
      <c r="BW77" s="60" t="s">
        <v>177</v>
      </c>
      <c r="BX77" s="60">
        <f>BK66</f>
        <v>0</v>
      </c>
    </row>
    <row r="78" spans="1:76" s="97" customFormat="1" ht="15.45" customHeight="1" x14ac:dyDescent="0.3">
      <c r="A78" s="147"/>
      <c r="B78" s="286">
        <v>11</v>
      </c>
      <c r="C78" s="164" t="str">
        <f t="shared" si="11"/>
        <v/>
      </c>
      <c r="D78" s="238" t="str">
        <f t="shared" si="12"/>
        <v/>
      </c>
      <c r="E78" s="208" t="str">
        <f t="shared" si="13"/>
        <v/>
      </c>
      <c r="F78" s="733"/>
      <c r="G78" s="734"/>
      <c r="H78" s="205" t="str">
        <f t="shared" si="14"/>
        <v/>
      </c>
      <c r="I78" s="335" t="str">
        <f t="shared" si="15"/>
        <v/>
      </c>
      <c r="J78" s="735" t="str">
        <f>IFERROR(IF(F78="","",VLOOKUP(F78,'10. Condition and Temporal'!$B$6:$F$103,5,FALSE)), "Error ▲")</f>
        <v/>
      </c>
      <c r="K78" s="736"/>
      <c r="L78" s="305" t="str">
        <f t="shared" si="16"/>
        <v/>
      </c>
      <c r="M78" s="737" t="str">
        <f t="shared" si="17"/>
        <v/>
      </c>
      <c r="N78" s="738"/>
      <c r="O78" s="133"/>
      <c r="P78" s="85"/>
      <c r="R78" s="649"/>
      <c r="T78" s="218" t="str">
        <f t="shared" si="18"/>
        <v/>
      </c>
      <c r="U78" s="159" t="str">
        <f t="shared" si="19"/>
        <v/>
      </c>
      <c r="V78" s="148" t="str">
        <f t="shared" si="20"/>
        <v/>
      </c>
      <c r="W78" s="61" t="str">
        <f t="shared" si="20"/>
        <v/>
      </c>
      <c r="X78" s="148" t="str">
        <f t="shared" si="20"/>
        <v/>
      </c>
      <c r="Y78" s="372"/>
      <c r="Z78" s="350"/>
      <c r="AA78" s="499"/>
      <c r="AB78" s="61" t="str">
        <f t="shared" si="21"/>
        <v/>
      </c>
      <c r="AC78" s="160" t="str">
        <f t="shared" si="22"/>
        <v/>
      </c>
      <c r="AD78" s="218" t="str">
        <f t="shared" si="23"/>
        <v/>
      </c>
      <c r="AE78" s="218" t="str">
        <f t="shared" si="24"/>
        <v/>
      </c>
      <c r="AF78" s="503" t="str">
        <f t="shared" si="25"/>
        <v/>
      </c>
      <c r="AG78" s="159" t="str">
        <f>IF(D78="","",VLOOKUP(F78,'9. All Habitats + Multipliers'!$C$4:$K$102,5,FALSE))</f>
        <v/>
      </c>
      <c r="AH78" s="351" t="str">
        <f>IF(AG78="","",VLOOKUP(AG78,'11. Lists'!$B$47:$D$49,2,FALSE))</f>
        <v/>
      </c>
      <c r="AI78" s="61" t="str">
        <f t="shared" si="26"/>
        <v/>
      </c>
      <c r="AJ78" s="148" t="str">
        <f>IF(AI78="","",VLOOKUP(AI78,'11. Lists'!$F$47:$G$51,2,FALSE))</f>
        <v/>
      </c>
      <c r="AK78" s="372"/>
      <c r="AL78" s="350"/>
      <c r="AM78" s="499"/>
      <c r="AN78" s="61" t="str">
        <f t="shared" si="27"/>
        <v/>
      </c>
      <c r="AO78" s="60" t="str">
        <f>IF(AN78="","",VLOOKUP(AN78,'11. Lists'!$F$36:$H$38,2,FALSE))</f>
        <v/>
      </c>
      <c r="AP78" s="148" t="str">
        <f>IF(AN78="","",VLOOKUP(AN78,'11. Lists'!$F$36:$H$38,3,FALSE))</f>
        <v/>
      </c>
      <c r="AQ78" s="159" t="str">
        <f>IF(D78="","",IF(AX78="Distinctiveness","N/A",VLOOKUP(F78,'10. Condition and Temporal'!$B$6:$L$103,11,FALSE)))</f>
        <v/>
      </c>
      <c r="AR78" s="163" t="str">
        <f>IF(AQ78="","",IF(AQ78="N/A","1",VLOOKUP(AQ78,'11. Lists'!$I$47:$K$80,3,FALSE)))</f>
        <v/>
      </c>
      <c r="AS78" s="515" t="str">
        <f>IF(D78="","",IF(AX78="Condition","N/A",VLOOKUP(F78,'10. Condition and Temporal'!$B$6:$M$106,12,FALSE)))</f>
        <v/>
      </c>
      <c r="AT78" s="163" t="str">
        <f>IF(AS78="","",IF(AS78="N/A","1",VLOOKUP(AS78,'11. Lists'!$I$47:$K$80,3,FALSE)))</f>
        <v/>
      </c>
      <c r="AU78" s="159" t="str">
        <f>IF(D78="","",VLOOKUP(F78,'9. All Habitats + Multipliers'!$C$4:$K$102,8,FALSE))</f>
        <v/>
      </c>
      <c r="AV78" s="160" t="str">
        <f>IF(AU78="","",VLOOKUP(AU78,'11. Lists'!$J$35:$K$38,2,FALSE))</f>
        <v/>
      </c>
      <c r="AW78" s="218" t="str">
        <f>IF(D78="","",VLOOKUP(D78,'10. Condition and Temporal'!$B$6:$M$103,4,FALSE))</f>
        <v/>
      </c>
      <c r="AX78" s="218" t="str">
        <f t="shared" si="28"/>
        <v/>
      </c>
      <c r="AY78" s="460" t="str">
        <f t="shared" si="29"/>
        <v/>
      </c>
      <c r="BA78" s="61">
        <v>11</v>
      </c>
      <c r="BB78" s="60" t="str">
        <f t="shared" si="30"/>
        <v/>
      </c>
      <c r="BC78" s="60" t="str">
        <f t="shared" si="31"/>
        <v/>
      </c>
      <c r="BD78" s="60" t="str">
        <f t="shared" si="32"/>
        <v/>
      </c>
      <c r="BE78" s="60" t="str">
        <f t="shared" si="33"/>
        <v/>
      </c>
      <c r="BF78" s="60" t="str">
        <f t="shared" si="34"/>
        <v/>
      </c>
      <c r="BG78" s="60" t="str">
        <f t="shared" si="35"/>
        <v/>
      </c>
      <c r="BH78" s="60" t="str">
        <f t="shared" si="36"/>
        <v/>
      </c>
      <c r="BI78" s="60" t="str">
        <f t="shared" si="37"/>
        <v/>
      </c>
      <c r="BJ78" s="60" t="str">
        <f t="shared" si="38"/>
        <v/>
      </c>
      <c r="BK78" s="60" t="str">
        <f t="shared" si="39"/>
        <v/>
      </c>
      <c r="BL78" s="60" t="str">
        <f t="shared" si="40"/>
        <v/>
      </c>
      <c r="BM78" s="60" t="str">
        <f t="shared" si="41"/>
        <v/>
      </c>
      <c r="BN78" s="60" t="str">
        <f t="shared" si="42"/>
        <v/>
      </c>
      <c r="BO78" s="60" t="str">
        <f t="shared" si="43"/>
        <v/>
      </c>
      <c r="BP78" s="60" t="str">
        <f t="shared" si="44"/>
        <v/>
      </c>
      <c r="BQ78" s="60" t="str">
        <f t="shared" si="45"/>
        <v/>
      </c>
      <c r="BR78" s="60" t="str">
        <f t="shared" si="46"/>
        <v/>
      </c>
      <c r="BS78" s="60" t="str">
        <f t="shared" si="47"/>
        <v/>
      </c>
      <c r="BT78" s="60" t="str">
        <f t="shared" si="48"/>
        <v/>
      </c>
      <c r="BU78" s="148" t="str">
        <f t="shared" si="49"/>
        <v/>
      </c>
      <c r="BV78" s="225" t="str">
        <f t="shared" si="50"/>
        <v/>
      </c>
      <c r="BW78" s="60" t="s">
        <v>178</v>
      </c>
      <c r="BX78" s="60">
        <f>BL66</f>
        <v>0</v>
      </c>
    </row>
    <row r="79" spans="1:76" s="97" customFormat="1" ht="15.45" customHeight="1" x14ac:dyDescent="0.3">
      <c r="A79" s="147"/>
      <c r="B79" s="286">
        <v>12</v>
      </c>
      <c r="C79" s="164" t="str">
        <f t="shared" si="11"/>
        <v/>
      </c>
      <c r="D79" s="238" t="str">
        <f t="shared" si="12"/>
        <v/>
      </c>
      <c r="E79" s="208" t="str">
        <f t="shared" si="13"/>
        <v/>
      </c>
      <c r="F79" s="733"/>
      <c r="G79" s="734"/>
      <c r="H79" s="205" t="str">
        <f t="shared" si="14"/>
        <v/>
      </c>
      <c r="I79" s="335" t="str">
        <f t="shared" si="15"/>
        <v/>
      </c>
      <c r="J79" s="735" t="str">
        <f>IFERROR(IF(F79="","",VLOOKUP(F79,'10. Condition and Temporal'!$B$6:$F$103,5,FALSE)), "Error ▲")</f>
        <v/>
      </c>
      <c r="K79" s="736"/>
      <c r="L79" s="305" t="str">
        <f t="shared" si="16"/>
        <v/>
      </c>
      <c r="M79" s="737" t="str">
        <f t="shared" si="17"/>
        <v/>
      </c>
      <c r="N79" s="738"/>
      <c r="O79" s="133"/>
      <c r="P79" s="85"/>
      <c r="R79" s="649"/>
      <c r="T79" s="218" t="str">
        <f t="shared" si="18"/>
        <v/>
      </c>
      <c r="U79" s="159" t="str">
        <f t="shared" si="19"/>
        <v/>
      </c>
      <c r="V79" s="148" t="str">
        <f t="shared" si="20"/>
        <v/>
      </c>
      <c r="W79" s="61" t="str">
        <f t="shared" si="20"/>
        <v/>
      </c>
      <c r="X79" s="148" t="str">
        <f t="shared" si="20"/>
        <v/>
      </c>
      <c r="Y79" s="372"/>
      <c r="Z79" s="350"/>
      <c r="AA79" s="499"/>
      <c r="AB79" s="61" t="str">
        <f t="shared" si="21"/>
        <v/>
      </c>
      <c r="AC79" s="160" t="str">
        <f t="shared" si="22"/>
        <v/>
      </c>
      <c r="AD79" s="218" t="str">
        <f t="shared" si="23"/>
        <v/>
      </c>
      <c r="AE79" s="218" t="str">
        <f t="shared" si="24"/>
        <v/>
      </c>
      <c r="AF79" s="503" t="str">
        <f t="shared" si="25"/>
        <v/>
      </c>
      <c r="AG79" s="159" t="str">
        <f>IF(D79="","",VLOOKUP(F79,'9. All Habitats + Multipliers'!$C$4:$K$102,5,FALSE))</f>
        <v/>
      </c>
      <c r="AH79" s="351" t="str">
        <f>IF(AG79="","",VLOOKUP(AG79,'11. Lists'!$B$47:$D$49,2,FALSE))</f>
        <v/>
      </c>
      <c r="AI79" s="61" t="str">
        <f t="shared" si="26"/>
        <v/>
      </c>
      <c r="AJ79" s="148" t="str">
        <f>IF(AI79="","",VLOOKUP(AI79,'11. Lists'!$F$47:$G$51,2,FALSE))</f>
        <v/>
      </c>
      <c r="AK79" s="372"/>
      <c r="AL79" s="350"/>
      <c r="AM79" s="499"/>
      <c r="AN79" s="61" t="str">
        <f t="shared" si="27"/>
        <v/>
      </c>
      <c r="AO79" s="60" t="str">
        <f>IF(AN79="","",VLOOKUP(AN79,'11. Lists'!$F$36:$H$38,2,FALSE))</f>
        <v/>
      </c>
      <c r="AP79" s="148" t="str">
        <f>IF(AN79="","",VLOOKUP(AN79,'11. Lists'!$F$36:$H$38,3,FALSE))</f>
        <v/>
      </c>
      <c r="AQ79" s="159" t="str">
        <f>IF(D79="","",IF(AX79="Distinctiveness","N/A",VLOOKUP(F79,'10. Condition and Temporal'!$B$6:$L$103,11,FALSE)))</f>
        <v/>
      </c>
      <c r="AR79" s="163" t="str">
        <f>IF(AQ79="","",IF(AQ79="N/A","1",VLOOKUP(AQ79,'11. Lists'!$I$47:$K$80,3,FALSE)))</f>
        <v/>
      </c>
      <c r="AS79" s="515" t="str">
        <f>IF(D79="","",IF(AX79="Condition","N/A",VLOOKUP(F79,'10. Condition and Temporal'!$B$6:$M$106,12,FALSE)))</f>
        <v/>
      </c>
      <c r="AT79" s="163" t="str">
        <f>IF(AS79="","",IF(AS79="N/A","1",VLOOKUP(AS79,'11. Lists'!$I$47:$K$80,3,FALSE)))</f>
        <v/>
      </c>
      <c r="AU79" s="159" t="str">
        <f>IF(D79="","",VLOOKUP(F79,'9. All Habitats + Multipliers'!$C$4:$K$102,8,FALSE))</f>
        <v/>
      </c>
      <c r="AV79" s="160" t="str">
        <f>IF(AU79="","",VLOOKUP(AU79,'11. Lists'!$J$35:$K$38,2,FALSE))</f>
        <v/>
      </c>
      <c r="AW79" s="218" t="str">
        <f>IF(D79="","",VLOOKUP(D79,'10. Condition and Temporal'!$B$6:$M$103,4,FALSE))</f>
        <v/>
      </c>
      <c r="AX79" s="218" t="str">
        <f t="shared" si="28"/>
        <v/>
      </c>
      <c r="AY79" s="460" t="str">
        <f t="shared" si="29"/>
        <v/>
      </c>
      <c r="BA79" s="61">
        <v>12</v>
      </c>
      <c r="BB79" s="60" t="str">
        <f t="shared" si="30"/>
        <v/>
      </c>
      <c r="BC79" s="60" t="str">
        <f t="shared" si="31"/>
        <v/>
      </c>
      <c r="BD79" s="60" t="str">
        <f t="shared" si="32"/>
        <v/>
      </c>
      <c r="BE79" s="60" t="str">
        <f t="shared" si="33"/>
        <v/>
      </c>
      <c r="BF79" s="60" t="str">
        <f t="shared" si="34"/>
        <v/>
      </c>
      <c r="BG79" s="60" t="str">
        <f t="shared" si="35"/>
        <v/>
      </c>
      <c r="BH79" s="60" t="str">
        <f t="shared" si="36"/>
        <v/>
      </c>
      <c r="BI79" s="60" t="str">
        <f t="shared" si="37"/>
        <v/>
      </c>
      <c r="BJ79" s="60" t="str">
        <f t="shared" si="38"/>
        <v/>
      </c>
      <c r="BK79" s="60" t="str">
        <f t="shared" si="39"/>
        <v/>
      </c>
      <c r="BL79" s="60" t="str">
        <f t="shared" si="40"/>
        <v/>
      </c>
      <c r="BM79" s="60" t="str">
        <f t="shared" si="41"/>
        <v/>
      </c>
      <c r="BN79" s="60" t="str">
        <f t="shared" si="42"/>
        <v/>
      </c>
      <c r="BO79" s="60" t="str">
        <f t="shared" si="43"/>
        <v/>
      </c>
      <c r="BP79" s="60" t="str">
        <f t="shared" si="44"/>
        <v/>
      </c>
      <c r="BQ79" s="60" t="str">
        <f t="shared" si="45"/>
        <v/>
      </c>
      <c r="BR79" s="60" t="str">
        <f t="shared" si="46"/>
        <v/>
      </c>
      <c r="BS79" s="60" t="str">
        <f t="shared" si="47"/>
        <v/>
      </c>
      <c r="BT79" s="60" t="str">
        <f t="shared" si="48"/>
        <v/>
      </c>
      <c r="BU79" s="148" t="str">
        <f t="shared" si="49"/>
        <v/>
      </c>
      <c r="BV79" s="225" t="str">
        <f t="shared" si="50"/>
        <v/>
      </c>
      <c r="BW79" s="60" t="s">
        <v>179</v>
      </c>
      <c r="BX79" s="60">
        <f>BM66</f>
        <v>0</v>
      </c>
    </row>
    <row r="80" spans="1:76" s="97" customFormat="1" ht="15.45" customHeight="1" x14ac:dyDescent="0.3">
      <c r="A80" s="147"/>
      <c r="B80" s="286">
        <v>13</v>
      </c>
      <c r="C80" s="164" t="str">
        <f t="shared" si="11"/>
        <v/>
      </c>
      <c r="D80" s="238" t="str">
        <f t="shared" si="12"/>
        <v/>
      </c>
      <c r="E80" s="208" t="str">
        <f t="shared" si="13"/>
        <v/>
      </c>
      <c r="F80" s="733"/>
      <c r="G80" s="734"/>
      <c r="H80" s="205" t="str">
        <f t="shared" si="14"/>
        <v/>
      </c>
      <c r="I80" s="335" t="str">
        <f t="shared" si="15"/>
        <v/>
      </c>
      <c r="J80" s="735" t="str">
        <f>IFERROR(IF(F80="","",VLOOKUP(F80,'10. Condition and Temporal'!$B$6:$F$103,5,FALSE)), "Error ▲")</f>
        <v/>
      </c>
      <c r="K80" s="736"/>
      <c r="L80" s="305" t="str">
        <f t="shared" si="16"/>
        <v/>
      </c>
      <c r="M80" s="737" t="str">
        <f t="shared" si="17"/>
        <v/>
      </c>
      <c r="N80" s="738"/>
      <c r="O80" s="133"/>
      <c r="P80" s="85"/>
      <c r="R80" s="649"/>
      <c r="T80" s="218" t="str">
        <f t="shared" si="18"/>
        <v/>
      </c>
      <c r="U80" s="159" t="str">
        <f t="shared" si="19"/>
        <v/>
      </c>
      <c r="V80" s="148" t="str">
        <f t="shared" si="20"/>
        <v/>
      </c>
      <c r="W80" s="61" t="str">
        <f t="shared" si="20"/>
        <v/>
      </c>
      <c r="X80" s="148" t="str">
        <f t="shared" si="20"/>
        <v/>
      </c>
      <c r="Y80" s="372"/>
      <c r="Z80" s="350"/>
      <c r="AA80" s="499"/>
      <c r="AB80" s="61" t="str">
        <f t="shared" si="21"/>
        <v/>
      </c>
      <c r="AC80" s="160" t="str">
        <f t="shared" si="22"/>
        <v/>
      </c>
      <c r="AD80" s="218" t="str">
        <f t="shared" si="23"/>
        <v/>
      </c>
      <c r="AE80" s="218" t="str">
        <f t="shared" si="24"/>
        <v/>
      </c>
      <c r="AF80" s="503" t="str">
        <f t="shared" si="25"/>
        <v/>
      </c>
      <c r="AG80" s="159" t="str">
        <f>IF(D80="","",VLOOKUP(F80,'9. All Habitats + Multipliers'!$C$4:$K$102,5,FALSE))</f>
        <v/>
      </c>
      <c r="AH80" s="351" t="str">
        <f>IF(AG80="","",VLOOKUP(AG80,'11. Lists'!$B$47:$D$49,2,FALSE))</f>
        <v/>
      </c>
      <c r="AI80" s="61" t="str">
        <f t="shared" si="26"/>
        <v/>
      </c>
      <c r="AJ80" s="148" t="str">
        <f>IF(AI80="","",VLOOKUP(AI80,'11. Lists'!$F$47:$G$51,2,FALSE))</f>
        <v/>
      </c>
      <c r="AK80" s="372"/>
      <c r="AL80" s="350"/>
      <c r="AM80" s="499"/>
      <c r="AN80" s="61" t="str">
        <f t="shared" si="27"/>
        <v/>
      </c>
      <c r="AO80" s="60" t="str">
        <f>IF(AN80="","",VLOOKUP(AN80,'11. Lists'!$F$36:$H$38,2,FALSE))</f>
        <v/>
      </c>
      <c r="AP80" s="148" t="str">
        <f>IF(AN80="","",VLOOKUP(AN80,'11. Lists'!$F$36:$H$38,3,FALSE))</f>
        <v/>
      </c>
      <c r="AQ80" s="159" t="str">
        <f>IF(D80="","",IF(AX80="Distinctiveness","N/A",VLOOKUP(F80,'10. Condition and Temporal'!$B$6:$L$103,11,FALSE)))</f>
        <v/>
      </c>
      <c r="AR80" s="163" t="str">
        <f>IF(AQ80="","",IF(AQ80="N/A","1",VLOOKUP(AQ80,'11. Lists'!$I$47:$K$80,3,FALSE)))</f>
        <v/>
      </c>
      <c r="AS80" s="515" t="str">
        <f>IF(D80="","",IF(AX80="Condition","N/A",VLOOKUP(F80,'10. Condition and Temporal'!$B$6:$M$106,12,FALSE)))</f>
        <v/>
      </c>
      <c r="AT80" s="163" t="str">
        <f>IF(AS80="","",IF(AS80="N/A","1",VLOOKUP(AS80,'11. Lists'!$I$47:$K$80,3,FALSE)))</f>
        <v/>
      </c>
      <c r="AU80" s="159" t="str">
        <f>IF(D80="","",VLOOKUP(F80,'9. All Habitats + Multipliers'!$C$4:$K$102,8,FALSE))</f>
        <v/>
      </c>
      <c r="AV80" s="160" t="str">
        <f>IF(AU80="","",VLOOKUP(AU80,'11. Lists'!$J$35:$K$38,2,FALSE))</f>
        <v/>
      </c>
      <c r="AW80" s="218" t="str">
        <f>IF(D80="","",VLOOKUP(D80,'10. Condition and Temporal'!$B$6:$M$103,4,FALSE))</f>
        <v/>
      </c>
      <c r="AX80" s="218" t="str">
        <f t="shared" si="28"/>
        <v/>
      </c>
      <c r="AY80" s="460" t="str">
        <f t="shared" si="29"/>
        <v/>
      </c>
      <c r="BA80" s="61">
        <v>13</v>
      </c>
      <c r="BB80" s="60" t="str">
        <f t="shared" si="30"/>
        <v/>
      </c>
      <c r="BC80" s="60" t="str">
        <f t="shared" si="31"/>
        <v/>
      </c>
      <c r="BD80" s="60" t="str">
        <f t="shared" si="32"/>
        <v/>
      </c>
      <c r="BE80" s="60" t="str">
        <f t="shared" si="33"/>
        <v/>
      </c>
      <c r="BF80" s="60" t="str">
        <f t="shared" si="34"/>
        <v/>
      </c>
      <c r="BG80" s="60" t="str">
        <f t="shared" si="35"/>
        <v/>
      </c>
      <c r="BH80" s="60" t="str">
        <f t="shared" si="36"/>
        <v/>
      </c>
      <c r="BI80" s="60" t="str">
        <f t="shared" si="37"/>
        <v/>
      </c>
      <c r="BJ80" s="60" t="str">
        <f t="shared" si="38"/>
        <v/>
      </c>
      <c r="BK80" s="60" t="str">
        <f t="shared" si="39"/>
        <v/>
      </c>
      <c r="BL80" s="60" t="str">
        <f t="shared" si="40"/>
        <v/>
      </c>
      <c r="BM80" s="60" t="str">
        <f t="shared" si="41"/>
        <v/>
      </c>
      <c r="BN80" s="60" t="str">
        <f t="shared" si="42"/>
        <v/>
      </c>
      <c r="BO80" s="60" t="str">
        <f t="shared" si="43"/>
        <v/>
      </c>
      <c r="BP80" s="60" t="str">
        <f t="shared" si="44"/>
        <v/>
      </c>
      <c r="BQ80" s="60" t="str">
        <f t="shared" si="45"/>
        <v/>
      </c>
      <c r="BR80" s="60" t="str">
        <f t="shared" si="46"/>
        <v/>
      </c>
      <c r="BS80" s="60" t="str">
        <f t="shared" si="47"/>
        <v/>
      </c>
      <c r="BT80" s="60" t="str">
        <f t="shared" si="48"/>
        <v/>
      </c>
      <c r="BU80" s="148" t="str">
        <f t="shared" si="49"/>
        <v/>
      </c>
      <c r="BV80" s="225" t="str">
        <f t="shared" si="50"/>
        <v/>
      </c>
      <c r="BW80" s="60" t="s">
        <v>180</v>
      </c>
      <c r="BX80" s="60">
        <f>BN66</f>
        <v>0</v>
      </c>
    </row>
    <row r="81" spans="1:76" s="97" customFormat="1" ht="15.45" customHeight="1" x14ac:dyDescent="0.3">
      <c r="A81" s="147"/>
      <c r="B81" s="286">
        <v>14</v>
      </c>
      <c r="C81" s="164" t="str">
        <f t="shared" si="11"/>
        <v/>
      </c>
      <c r="D81" s="238" t="str">
        <f t="shared" si="12"/>
        <v/>
      </c>
      <c r="E81" s="208" t="str">
        <f t="shared" si="13"/>
        <v/>
      </c>
      <c r="F81" s="733"/>
      <c r="G81" s="734"/>
      <c r="H81" s="205" t="str">
        <f t="shared" si="14"/>
        <v/>
      </c>
      <c r="I81" s="335" t="str">
        <f t="shared" si="15"/>
        <v/>
      </c>
      <c r="J81" s="735" t="str">
        <f>IFERROR(IF(F81="","",VLOOKUP(F81,'10. Condition and Temporal'!$B$6:$F$103,5,FALSE)), "Error ▲")</f>
        <v/>
      </c>
      <c r="K81" s="736"/>
      <c r="L81" s="305" t="str">
        <f t="shared" si="16"/>
        <v/>
      </c>
      <c r="M81" s="737" t="str">
        <f t="shared" si="17"/>
        <v/>
      </c>
      <c r="N81" s="738"/>
      <c r="O81" s="133"/>
      <c r="P81" s="85"/>
      <c r="R81" s="649"/>
      <c r="T81" s="218" t="str">
        <f t="shared" si="18"/>
        <v/>
      </c>
      <c r="U81" s="159" t="str">
        <f t="shared" si="19"/>
        <v/>
      </c>
      <c r="V81" s="148" t="str">
        <f t="shared" si="20"/>
        <v/>
      </c>
      <c r="W81" s="61" t="str">
        <f t="shared" si="20"/>
        <v/>
      </c>
      <c r="X81" s="148" t="str">
        <f t="shared" si="20"/>
        <v/>
      </c>
      <c r="Y81" s="372"/>
      <c r="Z81" s="350"/>
      <c r="AA81" s="499"/>
      <c r="AB81" s="61" t="str">
        <f t="shared" si="21"/>
        <v/>
      </c>
      <c r="AC81" s="160" t="str">
        <f t="shared" si="22"/>
        <v/>
      </c>
      <c r="AD81" s="218" t="str">
        <f t="shared" si="23"/>
        <v/>
      </c>
      <c r="AE81" s="218" t="str">
        <f t="shared" si="24"/>
        <v/>
      </c>
      <c r="AF81" s="503" t="str">
        <f t="shared" si="25"/>
        <v/>
      </c>
      <c r="AG81" s="159" t="str">
        <f>IF(D81="","",VLOOKUP(F81,'9. All Habitats + Multipliers'!$C$4:$K$102,5,FALSE))</f>
        <v/>
      </c>
      <c r="AH81" s="351" t="str">
        <f>IF(AG81="","",VLOOKUP(AG81,'11. Lists'!$B$47:$D$49,2,FALSE))</f>
        <v/>
      </c>
      <c r="AI81" s="61" t="str">
        <f t="shared" si="26"/>
        <v/>
      </c>
      <c r="AJ81" s="148" t="str">
        <f>IF(AI81="","",VLOOKUP(AI81,'11. Lists'!$F$47:$G$51,2,FALSE))</f>
        <v/>
      </c>
      <c r="AK81" s="372"/>
      <c r="AL81" s="350"/>
      <c r="AM81" s="499"/>
      <c r="AN81" s="61" t="str">
        <f t="shared" si="27"/>
        <v/>
      </c>
      <c r="AO81" s="60" t="str">
        <f>IF(AN81="","",VLOOKUP(AN81,'11. Lists'!$F$36:$H$38,2,FALSE))</f>
        <v/>
      </c>
      <c r="AP81" s="148" t="str">
        <f>IF(AN81="","",VLOOKUP(AN81,'11. Lists'!$F$36:$H$38,3,FALSE))</f>
        <v/>
      </c>
      <c r="AQ81" s="159" t="str">
        <f>IF(D81="","",IF(AX81="Distinctiveness","N/A",VLOOKUP(F81,'10. Condition and Temporal'!$B$6:$L$103,11,FALSE)))</f>
        <v/>
      </c>
      <c r="AR81" s="163" t="str">
        <f>IF(AQ81="","",IF(AQ81="N/A","1",VLOOKUP(AQ81,'11. Lists'!$I$47:$K$80,3,FALSE)))</f>
        <v/>
      </c>
      <c r="AS81" s="515" t="str">
        <f>IF(D81="","",IF(AX81="Condition","N/A",VLOOKUP(F81,'10. Condition and Temporal'!$B$6:$M$106,12,FALSE)))</f>
        <v/>
      </c>
      <c r="AT81" s="163" t="str">
        <f>IF(AS81="","",IF(AS81="N/A","1",VLOOKUP(AS81,'11. Lists'!$I$47:$K$80,3,FALSE)))</f>
        <v/>
      </c>
      <c r="AU81" s="159" t="str">
        <f>IF(D81="","",VLOOKUP(F81,'9. All Habitats + Multipliers'!$C$4:$K$102,8,FALSE))</f>
        <v/>
      </c>
      <c r="AV81" s="160" t="str">
        <f>IF(AU81="","",VLOOKUP(AU81,'11. Lists'!$J$35:$K$38,2,FALSE))</f>
        <v/>
      </c>
      <c r="AW81" s="218" t="str">
        <f>IF(D81="","",VLOOKUP(D81,'10. Condition and Temporal'!$B$6:$M$103,4,FALSE))</f>
        <v/>
      </c>
      <c r="AX81" s="218" t="str">
        <f t="shared" si="28"/>
        <v/>
      </c>
      <c r="AY81" s="460" t="str">
        <f t="shared" si="29"/>
        <v/>
      </c>
      <c r="BA81" s="61">
        <v>14</v>
      </c>
      <c r="BB81" s="60" t="str">
        <f t="shared" si="30"/>
        <v/>
      </c>
      <c r="BC81" s="60" t="str">
        <f t="shared" si="31"/>
        <v/>
      </c>
      <c r="BD81" s="60" t="str">
        <f t="shared" si="32"/>
        <v/>
      </c>
      <c r="BE81" s="60" t="str">
        <f t="shared" si="33"/>
        <v/>
      </c>
      <c r="BF81" s="60" t="str">
        <f t="shared" si="34"/>
        <v/>
      </c>
      <c r="BG81" s="60" t="str">
        <f t="shared" si="35"/>
        <v/>
      </c>
      <c r="BH81" s="60" t="str">
        <f t="shared" si="36"/>
        <v/>
      </c>
      <c r="BI81" s="60" t="str">
        <f t="shared" si="37"/>
        <v/>
      </c>
      <c r="BJ81" s="60" t="str">
        <f t="shared" si="38"/>
        <v/>
      </c>
      <c r="BK81" s="60" t="str">
        <f t="shared" si="39"/>
        <v/>
      </c>
      <c r="BL81" s="60" t="str">
        <f t="shared" si="40"/>
        <v/>
      </c>
      <c r="BM81" s="60" t="str">
        <f t="shared" si="41"/>
        <v/>
      </c>
      <c r="BN81" s="60" t="str">
        <f t="shared" si="42"/>
        <v/>
      </c>
      <c r="BO81" s="60" t="str">
        <f t="shared" si="43"/>
        <v/>
      </c>
      <c r="BP81" s="60" t="str">
        <f t="shared" si="44"/>
        <v/>
      </c>
      <c r="BQ81" s="60" t="str">
        <f t="shared" si="45"/>
        <v/>
      </c>
      <c r="BR81" s="60" t="str">
        <f t="shared" si="46"/>
        <v/>
      </c>
      <c r="BS81" s="60" t="str">
        <f t="shared" si="47"/>
        <v/>
      </c>
      <c r="BT81" s="60" t="str">
        <f t="shared" si="48"/>
        <v/>
      </c>
      <c r="BU81" s="148" t="str">
        <f t="shared" si="49"/>
        <v/>
      </c>
      <c r="BV81" s="225" t="str">
        <f t="shared" si="50"/>
        <v/>
      </c>
      <c r="BW81" s="60" t="s">
        <v>181</v>
      </c>
      <c r="BX81" s="60">
        <f>BO66</f>
        <v>0</v>
      </c>
    </row>
    <row r="82" spans="1:76" s="97" customFormat="1" ht="15.45" customHeight="1" x14ac:dyDescent="0.3">
      <c r="A82" s="147"/>
      <c r="B82" s="286">
        <v>15</v>
      </c>
      <c r="C82" s="164" t="str">
        <f t="shared" si="11"/>
        <v/>
      </c>
      <c r="D82" s="238" t="str">
        <f t="shared" si="12"/>
        <v/>
      </c>
      <c r="E82" s="208" t="str">
        <f t="shared" si="13"/>
        <v/>
      </c>
      <c r="F82" s="733"/>
      <c r="G82" s="734"/>
      <c r="H82" s="205" t="str">
        <f t="shared" si="14"/>
        <v/>
      </c>
      <c r="I82" s="335" t="str">
        <f t="shared" si="15"/>
        <v/>
      </c>
      <c r="J82" s="735" t="str">
        <f>IFERROR(IF(F82="","",VLOOKUP(F82,'10. Condition and Temporal'!$B$6:$F$103,5,FALSE)), "Error ▲")</f>
        <v/>
      </c>
      <c r="K82" s="736"/>
      <c r="L82" s="305" t="str">
        <f t="shared" si="16"/>
        <v/>
      </c>
      <c r="M82" s="737" t="str">
        <f t="shared" si="17"/>
        <v/>
      </c>
      <c r="N82" s="738"/>
      <c r="O82" s="133"/>
      <c r="P82" s="85"/>
      <c r="R82" s="649"/>
      <c r="T82" s="218" t="str">
        <f t="shared" si="18"/>
        <v/>
      </c>
      <c r="U82" s="159" t="str">
        <f t="shared" si="19"/>
        <v/>
      </c>
      <c r="V82" s="148" t="str">
        <f t="shared" si="20"/>
        <v/>
      </c>
      <c r="W82" s="61" t="str">
        <f t="shared" si="20"/>
        <v/>
      </c>
      <c r="X82" s="148" t="str">
        <f t="shared" si="20"/>
        <v/>
      </c>
      <c r="Y82" s="372"/>
      <c r="Z82" s="350"/>
      <c r="AA82" s="499"/>
      <c r="AB82" s="61" t="str">
        <f t="shared" si="21"/>
        <v/>
      </c>
      <c r="AC82" s="160" t="str">
        <f t="shared" si="22"/>
        <v/>
      </c>
      <c r="AD82" s="218" t="str">
        <f t="shared" si="23"/>
        <v/>
      </c>
      <c r="AE82" s="218" t="str">
        <f t="shared" si="24"/>
        <v/>
      </c>
      <c r="AF82" s="503" t="str">
        <f t="shared" si="25"/>
        <v/>
      </c>
      <c r="AG82" s="159" t="str">
        <f>IF(D82="","",VLOOKUP(F82,'9. All Habitats + Multipliers'!$C$4:$K$102,5,FALSE))</f>
        <v/>
      </c>
      <c r="AH82" s="351" t="str">
        <f>IF(AG82="","",VLOOKUP(AG82,'11. Lists'!$B$47:$D$49,2,FALSE))</f>
        <v/>
      </c>
      <c r="AI82" s="61" t="str">
        <f t="shared" si="26"/>
        <v/>
      </c>
      <c r="AJ82" s="148" t="str">
        <f>IF(AI82="","",VLOOKUP(AI82,'11. Lists'!$F$47:$G$51,2,FALSE))</f>
        <v/>
      </c>
      <c r="AK82" s="372"/>
      <c r="AL82" s="350"/>
      <c r="AM82" s="499"/>
      <c r="AN82" s="61" t="str">
        <f t="shared" si="27"/>
        <v/>
      </c>
      <c r="AO82" s="60" t="str">
        <f>IF(AN82="","",VLOOKUP(AN82,'11. Lists'!$F$36:$H$38,2,FALSE))</f>
        <v/>
      </c>
      <c r="AP82" s="148" t="str">
        <f>IF(AN82="","",VLOOKUP(AN82,'11. Lists'!$F$36:$H$38,3,FALSE))</f>
        <v/>
      </c>
      <c r="AQ82" s="159" t="str">
        <f>IF(D82="","",IF(AX82="Distinctiveness","N/A",VLOOKUP(F82,'10. Condition and Temporal'!$B$6:$L$103,11,FALSE)))</f>
        <v/>
      </c>
      <c r="AR82" s="163" t="str">
        <f>IF(AQ82="","",IF(AQ82="N/A","1",VLOOKUP(AQ82,'11. Lists'!$I$47:$K$80,3,FALSE)))</f>
        <v/>
      </c>
      <c r="AS82" s="515" t="str">
        <f>IF(D82="","",IF(AX82="Condition","N/A",VLOOKUP(F82,'10. Condition and Temporal'!$B$6:$M$106,12,FALSE)))</f>
        <v/>
      </c>
      <c r="AT82" s="163" t="str">
        <f>IF(AS82="","",IF(AS82="N/A","1",VLOOKUP(AS82,'11. Lists'!$I$47:$K$80,3,FALSE)))</f>
        <v/>
      </c>
      <c r="AU82" s="159" t="str">
        <f>IF(D82="","",VLOOKUP(F82,'9. All Habitats + Multipliers'!$C$4:$K$102,8,FALSE))</f>
        <v/>
      </c>
      <c r="AV82" s="160" t="str">
        <f>IF(AU82="","",VLOOKUP(AU82,'11. Lists'!$J$35:$K$38,2,FALSE))</f>
        <v/>
      </c>
      <c r="AW82" s="218" t="str">
        <f>IF(D82="","",VLOOKUP(D82,'10. Condition and Temporal'!$B$6:$M$103,4,FALSE))</f>
        <v/>
      </c>
      <c r="AX82" s="218" t="str">
        <f t="shared" si="28"/>
        <v/>
      </c>
      <c r="AY82" s="460" t="str">
        <f t="shared" si="29"/>
        <v/>
      </c>
      <c r="BA82" s="61">
        <v>15</v>
      </c>
      <c r="BB82" s="60" t="str">
        <f t="shared" si="30"/>
        <v/>
      </c>
      <c r="BC82" s="60" t="str">
        <f t="shared" si="31"/>
        <v/>
      </c>
      <c r="BD82" s="60" t="str">
        <f t="shared" si="32"/>
        <v/>
      </c>
      <c r="BE82" s="60" t="str">
        <f t="shared" si="33"/>
        <v/>
      </c>
      <c r="BF82" s="60" t="str">
        <f t="shared" si="34"/>
        <v/>
      </c>
      <c r="BG82" s="60" t="str">
        <f t="shared" si="35"/>
        <v/>
      </c>
      <c r="BH82" s="60" t="str">
        <f t="shared" si="36"/>
        <v/>
      </c>
      <c r="BI82" s="60" t="str">
        <f t="shared" si="37"/>
        <v/>
      </c>
      <c r="BJ82" s="60" t="str">
        <f t="shared" si="38"/>
        <v/>
      </c>
      <c r="BK82" s="60" t="str">
        <f t="shared" si="39"/>
        <v/>
      </c>
      <c r="BL82" s="60" t="str">
        <f t="shared" si="40"/>
        <v/>
      </c>
      <c r="BM82" s="60" t="str">
        <f t="shared" si="41"/>
        <v/>
      </c>
      <c r="BN82" s="60" t="str">
        <f t="shared" si="42"/>
        <v/>
      </c>
      <c r="BO82" s="60" t="str">
        <f t="shared" si="43"/>
        <v/>
      </c>
      <c r="BP82" s="60" t="str">
        <f t="shared" si="44"/>
        <v/>
      </c>
      <c r="BQ82" s="60" t="str">
        <f t="shared" si="45"/>
        <v/>
      </c>
      <c r="BR82" s="60" t="str">
        <f t="shared" si="46"/>
        <v/>
      </c>
      <c r="BS82" s="60" t="str">
        <f t="shared" si="47"/>
        <v/>
      </c>
      <c r="BT82" s="60" t="str">
        <f t="shared" si="48"/>
        <v/>
      </c>
      <c r="BU82" s="148" t="str">
        <f t="shared" si="49"/>
        <v/>
      </c>
      <c r="BV82" s="225" t="str">
        <f t="shared" si="50"/>
        <v/>
      </c>
      <c r="BW82" s="60" t="s">
        <v>182</v>
      </c>
      <c r="BX82" s="60">
        <f>BP66</f>
        <v>0</v>
      </c>
    </row>
    <row r="83" spans="1:76" s="97" customFormat="1" ht="15.45" customHeight="1" x14ac:dyDescent="0.3">
      <c r="A83" s="147"/>
      <c r="B83" s="286">
        <v>16</v>
      </c>
      <c r="C83" s="164" t="str">
        <f t="shared" si="11"/>
        <v/>
      </c>
      <c r="D83" s="238" t="str">
        <f t="shared" si="12"/>
        <v/>
      </c>
      <c r="E83" s="208" t="str">
        <f t="shared" si="13"/>
        <v/>
      </c>
      <c r="F83" s="733"/>
      <c r="G83" s="734"/>
      <c r="H83" s="205" t="str">
        <f t="shared" si="14"/>
        <v/>
      </c>
      <c r="I83" s="335" t="str">
        <f t="shared" si="15"/>
        <v/>
      </c>
      <c r="J83" s="735" t="str">
        <f>IFERROR(IF(F83="","",VLOOKUP(F83,'10. Condition and Temporal'!$B$6:$F$103,5,FALSE)), "Error ▲")</f>
        <v/>
      </c>
      <c r="K83" s="736"/>
      <c r="L83" s="305" t="str">
        <f t="shared" si="16"/>
        <v/>
      </c>
      <c r="M83" s="737" t="str">
        <f t="shared" si="17"/>
        <v/>
      </c>
      <c r="N83" s="738"/>
      <c r="O83" s="133"/>
      <c r="P83" s="85"/>
      <c r="R83" s="649"/>
      <c r="T83" s="218" t="str">
        <f t="shared" si="18"/>
        <v/>
      </c>
      <c r="U83" s="159" t="str">
        <f t="shared" si="19"/>
        <v/>
      </c>
      <c r="V83" s="148" t="str">
        <f t="shared" si="20"/>
        <v/>
      </c>
      <c r="W83" s="61" t="str">
        <f t="shared" si="20"/>
        <v/>
      </c>
      <c r="X83" s="148" t="str">
        <f t="shared" si="20"/>
        <v/>
      </c>
      <c r="Y83" s="372"/>
      <c r="Z83" s="350"/>
      <c r="AA83" s="499"/>
      <c r="AB83" s="61" t="str">
        <f t="shared" si="21"/>
        <v/>
      </c>
      <c r="AC83" s="160" t="str">
        <f t="shared" si="22"/>
        <v/>
      </c>
      <c r="AD83" s="218" t="str">
        <f t="shared" si="23"/>
        <v/>
      </c>
      <c r="AE83" s="218" t="str">
        <f t="shared" si="24"/>
        <v/>
      </c>
      <c r="AF83" s="503" t="str">
        <f t="shared" si="25"/>
        <v/>
      </c>
      <c r="AG83" s="159" t="str">
        <f>IF(D83="","",VLOOKUP(F83,'9. All Habitats + Multipliers'!$C$4:$K$102,5,FALSE))</f>
        <v/>
      </c>
      <c r="AH83" s="351" t="str">
        <f>IF(AG83="","",VLOOKUP(AG83,'11. Lists'!$B$47:$D$49,2,FALSE))</f>
        <v/>
      </c>
      <c r="AI83" s="61" t="str">
        <f t="shared" si="26"/>
        <v/>
      </c>
      <c r="AJ83" s="148" t="str">
        <f>IF(AI83="","",VLOOKUP(AI83,'11. Lists'!$F$47:$G$51,2,FALSE))</f>
        <v/>
      </c>
      <c r="AK83" s="372"/>
      <c r="AL83" s="350"/>
      <c r="AM83" s="499"/>
      <c r="AN83" s="61" t="str">
        <f t="shared" si="27"/>
        <v/>
      </c>
      <c r="AO83" s="60" t="str">
        <f>IF(AN83="","",VLOOKUP(AN83,'11. Lists'!$F$36:$H$38,2,FALSE))</f>
        <v/>
      </c>
      <c r="AP83" s="148" t="str">
        <f>IF(AN83="","",VLOOKUP(AN83,'11. Lists'!$F$36:$H$38,3,FALSE))</f>
        <v/>
      </c>
      <c r="AQ83" s="159" t="str">
        <f>IF(D83="","",IF(AX83="Distinctiveness","N/A",VLOOKUP(F83,'10. Condition and Temporal'!$B$6:$L$103,11,FALSE)))</f>
        <v/>
      </c>
      <c r="AR83" s="163" t="str">
        <f>IF(AQ83="","",IF(AQ83="N/A","1",VLOOKUP(AQ83,'11. Lists'!$I$47:$K$80,3,FALSE)))</f>
        <v/>
      </c>
      <c r="AS83" s="515" t="str">
        <f>IF(D83="","",IF(AX83="Condition","N/A",VLOOKUP(F83,'10. Condition and Temporal'!$B$6:$M$106,12,FALSE)))</f>
        <v/>
      </c>
      <c r="AT83" s="163" t="str">
        <f>IF(AS83="","",IF(AS83="N/A","1",VLOOKUP(AS83,'11. Lists'!$I$47:$K$80,3,FALSE)))</f>
        <v/>
      </c>
      <c r="AU83" s="159" t="str">
        <f>IF(D83="","",VLOOKUP(F83,'9. All Habitats + Multipliers'!$C$4:$K$102,8,FALSE))</f>
        <v/>
      </c>
      <c r="AV83" s="160" t="str">
        <f>IF(AU83="","",VLOOKUP(AU83,'11. Lists'!$J$35:$K$38,2,FALSE))</f>
        <v/>
      </c>
      <c r="AW83" s="218" t="str">
        <f>IF(D83="","",VLOOKUP(D83,'10. Condition and Temporal'!$B$6:$M$103,4,FALSE))</f>
        <v/>
      </c>
      <c r="AX83" s="218" t="str">
        <f t="shared" si="28"/>
        <v/>
      </c>
      <c r="AY83" s="460" t="str">
        <f t="shared" si="29"/>
        <v/>
      </c>
      <c r="BA83" s="61">
        <v>16</v>
      </c>
      <c r="BB83" s="60" t="str">
        <f t="shared" si="30"/>
        <v/>
      </c>
      <c r="BC83" s="60" t="str">
        <f t="shared" si="31"/>
        <v/>
      </c>
      <c r="BD83" s="60" t="str">
        <f t="shared" si="32"/>
        <v/>
      </c>
      <c r="BE83" s="60" t="str">
        <f t="shared" si="33"/>
        <v/>
      </c>
      <c r="BF83" s="60" t="str">
        <f t="shared" si="34"/>
        <v/>
      </c>
      <c r="BG83" s="60" t="str">
        <f t="shared" si="35"/>
        <v/>
      </c>
      <c r="BH83" s="60" t="str">
        <f t="shared" si="36"/>
        <v/>
      </c>
      <c r="BI83" s="60" t="str">
        <f t="shared" si="37"/>
        <v/>
      </c>
      <c r="BJ83" s="60" t="str">
        <f t="shared" si="38"/>
        <v/>
      </c>
      <c r="BK83" s="60" t="str">
        <f t="shared" si="39"/>
        <v/>
      </c>
      <c r="BL83" s="60" t="str">
        <f t="shared" si="40"/>
        <v/>
      </c>
      <c r="BM83" s="60" t="str">
        <f t="shared" si="41"/>
        <v/>
      </c>
      <c r="BN83" s="60" t="str">
        <f t="shared" si="42"/>
        <v/>
      </c>
      <c r="BO83" s="60" t="str">
        <f t="shared" si="43"/>
        <v/>
      </c>
      <c r="BP83" s="60" t="str">
        <f t="shared" si="44"/>
        <v/>
      </c>
      <c r="BQ83" s="60" t="str">
        <f t="shared" si="45"/>
        <v/>
      </c>
      <c r="BR83" s="60" t="str">
        <f t="shared" si="46"/>
        <v/>
      </c>
      <c r="BS83" s="60" t="str">
        <f t="shared" si="47"/>
        <v/>
      </c>
      <c r="BT83" s="60" t="str">
        <f t="shared" si="48"/>
        <v/>
      </c>
      <c r="BU83" s="148" t="str">
        <f t="shared" si="49"/>
        <v/>
      </c>
      <c r="BV83" s="225" t="str">
        <f t="shared" si="50"/>
        <v/>
      </c>
      <c r="BW83" s="60" t="s">
        <v>183</v>
      </c>
      <c r="BX83" s="60">
        <f>BQ66</f>
        <v>0</v>
      </c>
    </row>
    <row r="84" spans="1:76" s="97" customFormat="1" ht="15.45" customHeight="1" x14ac:dyDescent="0.3">
      <c r="A84" s="147"/>
      <c r="B84" s="286">
        <v>17</v>
      </c>
      <c r="C84" s="164" t="str">
        <f t="shared" si="11"/>
        <v/>
      </c>
      <c r="D84" s="238" t="str">
        <f t="shared" si="12"/>
        <v/>
      </c>
      <c r="E84" s="208" t="str">
        <f t="shared" si="13"/>
        <v/>
      </c>
      <c r="F84" s="733"/>
      <c r="G84" s="734"/>
      <c r="H84" s="205" t="str">
        <f t="shared" si="14"/>
        <v/>
      </c>
      <c r="I84" s="335" t="str">
        <f t="shared" si="15"/>
        <v/>
      </c>
      <c r="J84" s="735" t="str">
        <f>IFERROR(IF(F84="","",VLOOKUP(F84,'10. Condition and Temporal'!$B$6:$F$103,5,FALSE)), "Error ▲")</f>
        <v/>
      </c>
      <c r="K84" s="736"/>
      <c r="L84" s="305" t="str">
        <f t="shared" si="16"/>
        <v/>
      </c>
      <c r="M84" s="737" t="str">
        <f t="shared" si="17"/>
        <v/>
      </c>
      <c r="N84" s="738"/>
      <c r="O84" s="133"/>
      <c r="P84" s="85"/>
      <c r="R84" s="649"/>
      <c r="T84" s="218" t="str">
        <f t="shared" si="18"/>
        <v/>
      </c>
      <c r="U84" s="159" t="str">
        <f t="shared" si="19"/>
        <v/>
      </c>
      <c r="V84" s="148" t="str">
        <f t="shared" si="20"/>
        <v/>
      </c>
      <c r="W84" s="61" t="str">
        <f t="shared" si="20"/>
        <v/>
      </c>
      <c r="X84" s="148" t="str">
        <f t="shared" si="20"/>
        <v/>
      </c>
      <c r="Y84" s="372"/>
      <c r="Z84" s="350"/>
      <c r="AA84" s="499"/>
      <c r="AB84" s="61" t="str">
        <f t="shared" si="21"/>
        <v/>
      </c>
      <c r="AC84" s="160" t="str">
        <f t="shared" si="22"/>
        <v/>
      </c>
      <c r="AD84" s="218" t="str">
        <f t="shared" si="23"/>
        <v/>
      </c>
      <c r="AE84" s="218" t="str">
        <f t="shared" si="24"/>
        <v/>
      </c>
      <c r="AF84" s="503" t="str">
        <f t="shared" si="25"/>
        <v/>
      </c>
      <c r="AG84" s="159" t="str">
        <f>IF(D84="","",VLOOKUP(F84,'9. All Habitats + Multipliers'!$C$4:$K$102,5,FALSE))</f>
        <v/>
      </c>
      <c r="AH84" s="351" t="str">
        <f>IF(AG84="","",VLOOKUP(AG84,'11. Lists'!$B$47:$D$49,2,FALSE))</f>
        <v/>
      </c>
      <c r="AI84" s="61" t="str">
        <f t="shared" si="26"/>
        <v/>
      </c>
      <c r="AJ84" s="148" t="str">
        <f>IF(AI84="","",VLOOKUP(AI84,'11. Lists'!$F$47:$G$51,2,FALSE))</f>
        <v/>
      </c>
      <c r="AK84" s="372"/>
      <c r="AL84" s="350"/>
      <c r="AM84" s="499"/>
      <c r="AN84" s="61" t="str">
        <f t="shared" si="27"/>
        <v/>
      </c>
      <c r="AO84" s="60" t="str">
        <f>IF(AN84="","",VLOOKUP(AN84,'11. Lists'!$F$36:$H$38,2,FALSE))</f>
        <v/>
      </c>
      <c r="AP84" s="148" t="str">
        <f>IF(AN84="","",VLOOKUP(AN84,'11. Lists'!$F$36:$H$38,3,FALSE))</f>
        <v/>
      </c>
      <c r="AQ84" s="159" t="str">
        <f>IF(D84="","",IF(AX84="Distinctiveness","N/A",VLOOKUP(F84,'10. Condition and Temporal'!$B$6:$L$103,11,FALSE)))</f>
        <v/>
      </c>
      <c r="AR84" s="163" t="str">
        <f>IF(AQ84="","",IF(AQ84="N/A","1",VLOOKUP(AQ84,'11. Lists'!$I$47:$K$80,3,FALSE)))</f>
        <v/>
      </c>
      <c r="AS84" s="515" t="str">
        <f>IF(D84="","",IF(AX84="Condition","N/A",VLOOKUP(F84,'10. Condition and Temporal'!$B$6:$M$106,12,FALSE)))</f>
        <v/>
      </c>
      <c r="AT84" s="163" t="str">
        <f>IF(AS84="","",IF(AS84="N/A","1",VLOOKUP(AS84,'11. Lists'!$I$47:$K$80,3,FALSE)))</f>
        <v/>
      </c>
      <c r="AU84" s="159" t="str">
        <f>IF(D84="","",VLOOKUP(F84,'9. All Habitats + Multipliers'!$C$4:$K$102,8,FALSE))</f>
        <v/>
      </c>
      <c r="AV84" s="160" t="str">
        <f>IF(AU84="","",VLOOKUP(AU84,'11. Lists'!$J$35:$K$38,2,FALSE))</f>
        <v/>
      </c>
      <c r="AW84" s="218" t="str">
        <f>IF(D84="","",VLOOKUP(D84,'10. Condition and Temporal'!$B$6:$M$103,4,FALSE))</f>
        <v/>
      </c>
      <c r="AX84" s="218" t="str">
        <f t="shared" si="28"/>
        <v/>
      </c>
      <c r="AY84" s="460" t="str">
        <f t="shared" si="29"/>
        <v/>
      </c>
      <c r="BA84" s="61">
        <v>17</v>
      </c>
      <c r="BB84" s="60" t="str">
        <f t="shared" si="30"/>
        <v/>
      </c>
      <c r="BC84" s="60" t="str">
        <f t="shared" si="31"/>
        <v/>
      </c>
      <c r="BD84" s="60" t="str">
        <f t="shared" si="32"/>
        <v/>
      </c>
      <c r="BE84" s="60" t="str">
        <f t="shared" si="33"/>
        <v/>
      </c>
      <c r="BF84" s="60" t="str">
        <f t="shared" si="34"/>
        <v/>
      </c>
      <c r="BG84" s="60" t="str">
        <f t="shared" si="35"/>
        <v/>
      </c>
      <c r="BH84" s="60" t="str">
        <f t="shared" si="36"/>
        <v/>
      </c>
      <c r="BI84" s="60" t="str">
        <f t="shared" si="37"/>
        <v/>
      </c>
      <c r="BJ84" s="60" t="str">
        <f t="shared" si="38"/>
        <v/>
      </c>
      <c r="BK84" s="60" t="str">
        <f t="shared" si="39"/>
        <v/>
      </c>
      <c r="BL84" s="60" t="str">
        <f t="shared" si="40"/>
        <v/>
      </c>
      <c r="BM84" s="60" t="str">
        <f t="shared" si="41"/>
        <v/>
      </c>
      <c r="BN84" s="60" t="str">
        <f t="shared" si="42"/>
        <v/>
      </c>
      <c r="BO84" s="60" t="str">
        <f t="shared" si="43"/>
        <v/>
      </c>
      <c r="BP84" s="60" t="str">
        <f t="shared" si="44"/>
        <v/>
      </c>
      <c r="BQ84" s="60" t="str">
        <f t="shared" si="45"/>
        <v/>
      </c>
      <c r="BR84" s="60" t="str">
        <f t="shared" si="46"/>
        <v/>
      </c>
      <c r="BS84" s="60" t="str">
        <f t="shared" si="47"/>
        <v/>
      </c>
      <c r="BT84" s="60" t="str">
        <f t="shared" si="48"/>
        <v/>
      </c>
      <c r="BU84" s="148" t="str">
        <f t="shared" si="49"/>
        <v/>
      </c>
      <c r="BV84" s="225" t="str">
        <f t="shared" si="50"/>
        <v/>
      </c>
      <c r="BW84" s="60" t="s">
        <v>184</v>
      </c>
      <c r="BX84" s="60">
        <f>BR66</f>
        <v>0</v>
      </c>
    </row>
    <row r="85" spans="1:76" s="97" customFormat="1" ht="15.45" customHeight="1" x14ac:dyDescent="0.3">
      <c r="A85" s="147"/>
      <c r="B85" s="286">
        <v>18</v>
      </c>
      <c r="C85" s="164" t="str">
        <f t="shared" si="11"/>
        <v/>
      </c>
      <c r="D85" s="238" t="str">
        <f t="shared" si="12"/>
        <v/>
      </c>
      <c r="E85" s="208" t="str">
        <f t="shared" si="13"/>
        <v/>
      </c>
      <c r="F85" s="733"/>
      <c r="G85" s="734"/>
      <c r="H85" s="205" t="str">
        <f t="shared" si="14"/>
        <v/>
      </c>
      <c r="I85" s="335" t="str">
        <f t="shared" si="15"/>
        <v/>
      </c>
      <c r="J85" s="735" t="str">
        <f>IFERROR(IF(F85="","",VLOOKUP(F85,'10. Condition and Temporal'!$B$6:$F$103,5,FALSE)), "Error ▲")</f>
        <v/>
      </c>
      <c r="K85" s="736"/>
      <c r="L85" s="305" t="str">
        <f t="shared" si="16"/>
        <v/>
      </c>
      <c r="M85" s="737" t="str">
        <f t="shared" si="17"/>
        <v/>
      </c>
      <c r="N85" s="738"/>
      <c r="O85" s="133"/>
      <c r="P85" s="85"/>
      <c r="R85" s="649"/>
      <c r="T85" s="218" t="str">
        <f t="shared" si="18"/>
        <v/>
      </c>
      <c r="U85" s="159" t="str">
        <f t="shared" si="19"/>
        <v/>
      </c>
      <c r="V85" s="148" t="str">
        <f t="shared" si="20"/>
        <v/>
      </c>
      <c r="W85" s="61" t="str">
        <f t="shared" si="20"/>
        <v/>
      </c>
      <c r="X85" s="148" t="str">
        <f t="shared" si="20"/>
        <v/>
      </c>
      <c r="Y85" s="372"/>
      <c r="Z85" s="350"/>
      <c r="AA85" s="499"/>
      <c r="AB85" s="61" t="str">
        <f t="shared" si="21"/>
        <v/>
      </c>
      <c r="AC85" s="160" t="str">
        <f t="shared" si="22"/>
        <v/>
      </c>
      <c r="AD85" s="218" t="str">
        <f t="shared" si="23"/>
        <v/>
      </c>
      <c r="AE85" s="218" t="str">
        <f t="shared" si="24"/>
        <v/>
      </c>
      <c r="AF85" s="503" t="str">
        <f t="shared" si="25"/>
        <v/>
      </c>
      <c r="AG85" s="159" t="str">
        <f>IF(D85="","",VLOOKUP(F85,'9. All Habitats + Multipliers'!$C$4:$K$102,5,FALSE))</f>
        <v/>
      </c>
      <c r="AH85" s="351" t="str">
        <f>IF(AG85="","",VLOOKUP(AG85,'11. Lists'!$B$47:$D$49,2,FALSE))</f>
        <v/>
      </c>
      <c r="AI85" s="61" t="str">
        <f t="shared" si="26"/>
        <v/>
      </c>
      <c r="AJ85" s="148" t="str">
        <f>IF(AI85="","",VLOOKUP(AI85,'11. Lists'!$F$47:$G$51,2,FALSE))</f>
        <v/>
      </c>
      <c r="AK85" s="372"/>
      <c r="AL85" s="350"/>
      <c r="AM85" s="499"/>
      <c r="AN85" s="61" t="str">
        <f t="shared" si="27"/>
        <v/>
      </c>
      <c r="AO85" s="60" t="str">
        <f>IF(AN85="","",VLOOKUP(AN85,'11. Lists'!$F$36:$H$38,2,FALSE))</f>
        <v/>
      </c>
      <c r="AP85" s="148" t="str">
        <f>IF(AN85="","",VLOOKUP(AN85,'11. Lists'!$F$36:$H$38,3,FALSE))</f>
        <v/>
      </c>
      <c r="AQ85" s="159" t="str">
        <f>IF(D85="","",IF(AX85="Distinctiveness","N/A",VLOOKUP(F85,'10. Condition and Temporal'!$B$6:$L$103,11,FALSE)))</f>
        <v/>
      </c>
      <c r="AR85" s="163" t="str">
        <f>IF(AQ85="","",IF(AQ85="N/A","1",VLOOKUP(AQ85,'11. Lists'!$I$47:$K$80,3,FALSE)))</f>
        <v/>
      </c>
      <c r="AS85" s="515" t="str">
        <f>IF(D85="","",IF(AX85="Condition","N/A",VLOOKUP(F85,'10. Condition and Temporal'!$B$6:$M$106,12,FALSE)))</f>
        <v/>
      </c>
      <c r="AT85" s="163" t="str">
        <f>IF(AS85="","",IF(AS85="N/A","1",VLOOKUP(AS85,'11. Lists'!$I$47:$K$80,3,FALSE)))</f>
        <v/>
      </c>
      <c r="AU85" s="159" t="str">
        <f>IF(D85="","",VLOOKUP(F85,'9. All Habitats + Multipliers'!$C$4:$K$102,8,FALSE))</f>
        <v/>
      </c>
      <c r="AV85" s="160" t="str">
        <f>IF(AU85="","",VLOOKUP(AU85,'11. Lists'!$J$35:$K$38,2,FALSE))</f>
        <v/>
      </c>
      <c r="AW85" s="218" t="str">
        <f>IF(D85="","",VLOOKUP(D85,'10. Condition and Temporal'!$B$6:$M$103,4,FALSE))</f>
        <v/>
      </c>
      <c r="AX85" s="218" t="str">
        <f t="shared" si="28"/>
        <v/>
      </c>
      <c r="AY85" s="460" t="str">
        <f t="shared" si="29"/>
        <v/>
      </c>
      <c r="BA85" s="61">
        <v>18</v>
      </c>
      <c r="BB85" s="60" t="str">
        <f t="shared" si="30"/>
        <v/>
      </c>
      <c r="BC85" s="60" t="str">
        <f t="shared" si="31"/>
        <v/>
      </c>
      <c r="BD85" s="60" t="str">
        <f t="shared" si="32"/>
        <v/>
      </c>
      <c r="BE85" s="60" t="str">
        <f t="shared" si="33"/>
        <v/>
      </c>
      <c r="BF85" s="60" t="str">
        <f t="shared" si="34"/>
        <v/>
      </c>
      <c r="BG85" s="60" t="str">
        <f t="shared" si="35"/>
        <v/>
      </c>
      <c r="BH85" s="60" t="str">
        <f t="shared" si="36"/>
        <v/>
      </c>
      <c r="BI85" s="60" t="str">
        <f t="shared" si="37"/>
        <v/>
      </c>
      <c r="BJ85" s="60" t="str">
        <f t="shared" si="38"/>
        <v/>
      </c>
      <c r="BK85" s="60" t="str">
        <f t="shared" si="39"/>
        <v/>
      </c>
      <c r="BL85" s="60" t="str">
        <f t="shared" si="40"/>
        <v/>
      </c>
      <c r="BM85" s="60" t="str">
        <f t="shared" si="41"/>
        <v/>
      </c>
      <c r="BN85" s="60" t="str">
        <f t="shared" si="42"/>
        <v/>
      </c>
      <c r="BO85" s="60" t="str">
        <f t="shared" si="43"/>
        <v/>
      </c>
      <c r="BP85" s="60" t="str">
        <f t="shared" si="44"/>
        <v/>
      </c>
      <c r="BQ85" s="60" t="str">
        <f t="shared" si="45"/>
        <v/>
      </c>
      <c r="BR85" s="60" t="str">
        <f t="shared" si="46"/>
        <v/>
      </c>
      <c r="BS85" s="60" t="str">
        <f t="shared" si="47"/>
        <v/>
      </c>
      <c r="BT85" s="60" t="str">
        <f t="shared" si="48"/>
        <v/>
      </c>
      <c r="BU85" s="148" t="str">
        <f t="shared" si="49"/>
        <v/>
      </c>
      <c r="BV85" s="225" t="str">
        <f t="shared" si="50"/>
        <v/>
      </c>
      <c r="BW85" s="60" t="s">
        <v>185</v>
      </c>
      <c r="BX85" s="60">
        <f>BS66</f>
        <v>0</v>
      </c>
    </row>
    <row r="86" spans="1:76" s="97" customFormat="1" ht="15.45" customHeight="1" x14ac:dyDescent="0.3">
      <c r="A86" s="147"/>
      <c r="B86" s="286">
        <v>19</v>
      </c>
      <c r="C86" s="164" t="str">
        <f t="shared" si="11"/>
        <v/>
      </c>
      <c r="D86" s="238" t="str">
        <f t="shared" si="12"/>
        <v/>
      </c>
      <c r="E86" s="208" t="str">
        <f t="shared" si="13"/>
        <v/>
      </c>
      <c r="F86" s="733"/>
      <c r="G86" s="734"/>
      <c r="H86" s="205" t="str">
        <f t="shared" si="14"/>
        <v/>
      </c>
      <c r="I86" s="335" t="str">
        <f t="shared" si="15"/>
        <v/>
      </c>
      <c r="J86" s="735" t="str">
        <f>IFERROR(IF(F86="","",VLOOKUP(F86,'10. Condition and Temporal'!$B$6:$F$103,5,FALSE)), "Error ▲")</f>
        <v/>
      </c>
      <c r="K86" s="736"/>
      <c r="L86" s="305" t="str">
        <f t="shared" si="16"/>
        <v/>
      </c>
      <c r="M86" s="737" t="str">
        <f t="shared" si="17"/>
        <v/>
      </c>
      <c r="N86" s="738"/>
      <c r="O86" s="133"/>
      <c r="P86" s="85"/>
      <c r="R86" s="649"/>
      <c r="T86" s="218" t="str">
        <f t="shared" si="18"/>
        <v/>
      </c>
      <c r="U86" s="159" t="str">
        <f t="shared" si="19"/>
        <v/>
      </c>
      <c r="V86" s="148" t="str">
        <f t="shared" si="20"/>
        <v/>
      </c>
      <c r="W86" s="61" t="str">
        <f t="shared" si="20"/>
        <v/>
      </c>
      <c r="X86" s="148" t="str">
        <f t="shared" si="20"/>
        <v/>
      </c>
      <c r="Y86" s="372"/>
      <c r="Z86" s="350"/>
      <c r="AA86" s="499"/>
      <c r="AB86" s="61" t="str">
        <f t="shared" si="21"/>
        <v/>
      </c>
      <c r="AC86" s="160" t="str">
        <f t="shared" si="22"/>
        <v/>
      </c>
      <c r="AD86" s="218" t="str">
        <f t="shared" si="23"/>
        <v/>
      </c>
      <c r="AE86" s="218" t="str">
        <f t="shared" si="24"/>
        <v/>
      </c>
      <c r="AF86" s="503" t="str">
        <f t="shared" si="25"/>
        <v/>
      </c>
      <c r="AG86" s="159" t="str">
        <f>IF(D86="","",VLOOKUP(F86,'9. All Habitats + Multipliers'!$C$4:$K$102,5,FALSE))</f>
        <v/>
      </c>
      <c r="AH86" s="351" t="str">
        <f>IF(AG86="","",VLOOKUP(AG86,'11. Lists'!$B$47:$D$49,2,FALSE))</f>
        <v/>
      </c>
      <c r="AI86" s="61" t="str">
        <f t="shared" si="26"/>
        <v/>
      </c>
      <c r="AJ86" s="148" t="str">
        <f>IF(AI86="","",VLOOKUP(AI86,'11. Lists'!$F$47:$G$51,2,FALSE))</f>
        <v/>
      </c>
      <c r="AK86" s="372"/>
      <c r="AL86" s="350"/>
      <c r="AM86" s="499"/>
      <c r="AN86" s="61" t="str">
        <f t="shared" si="27"/>
        <v/>
      </c>
      <c r="AO86" s="60" t="str">
        <f>IF(AN86="","",VLOOKUP(AN86,'11. Lists'!$F$36:$H$38,2,FALSE))</f>
        <v/>
      </c>
      <c r="AP86" s="148" t="str">
        <f>IF(AN86="","",VLOOKUP(AN86,'11. Lists'!$F$36:$H$38,3,FALSE))</f>
        <v/>
      </c>
      <c r="AQ86" s="159" t="str">
        <f>IF(D86="","",IF(AX86="Distinctiveness","N/A",VLOOKUP(F86,'10. Condition and Temporal'!$B$6:$L$103,11,FALSE)))</f>
        <v/>
      </c>
      <c r="AR86" s="163" t="str">
        <f>IF(AQ86="","",IF(AQ86="N/A","1",VLOOKUP(AQ86,'11. Lists'!$I$47:$K$80,3,FALSE)))</f>
        <v/>
      </c>
      <c r="AS86" s="515" t="str">
        <f>IF(D86="","",IF(AX86="Condition","N/A",VLOOKUP(F86,'10. Condition and Temporal'!$B$6:$M$106,12,FALSE)))</f>
        <v/>
      </c>
      <c r="AT86" s="163" t="str">
        <f>IF(AS86="","",IF(AS86="N/A","1",VLOOKUP(AS86,'11. Lists'!$I$47:$K$80,3,FALSE)))</f>
        <v/>
      </c>
      <c r="AU86" s="159" t="str">
        <f>IF(D86="","",VLOOKUP(F86,'9. All Habitats + Multipliers'!$C$4:$K$102,8,FALSE))</f>
        <v/>
      </c>
      <c r="AV86" s="160" t="str">
        <f>IF(AU86="","",VLOOKUP(AU86,'11. Lists'!$J$35:$K$38,2,FALSE))</f>
        <v/>
      </c>
      <c r="AW86" s="218" t="str">
        <f>IF(D86="","",VLOOKUP(D86,'10. Condition and Temporal'!$B$6:$M$103,4,FALSE))</f>
        <v/>
      </c>
      <c r="AX86" s="218" t="str">
        <f t="shared" si="28"/>
        <v/>
      </c>
      <c r="AY86" s="460" t="str">
        <f t="shared" si="29"/>
        <v/>
      </c>
      <c r="BA86" s="61">
        <v>19</v>
      </c>
      <c r="BB86" s="60" t="str">
        <f t="shared" si="30"/>
        <v/>
      </c>
      <c r="BC86" s="60" t="str">
        <f t="shared" si="31"/>
        <v/>
      </c>
      <c r="BD86" s="60" t="str">
        <f t="shared" si="32"/>
        <v/>
      </c>
      <c r="BE86" s="60" t="str">
        <f t="shared" si="33"/>
        <v/>
      </c>
      <c r="BF86" s="60" t="str">
        <f t="shared" si="34"/>
        <v/>
      </c>
      <c r="BG86" s="60" t="str">
        <f t="shared" si="35"/>
        <v/>
      </c>
      <c r="BH86" s="60" t="str">
        <f t="shared" si="36"/>
        <v/>
      </c>
      <c r="BI86" s="60" t="str">
        <f t="shared" si="37"/>
        <v/>
      </c>
      <c r="BJ86" s="60" t="str">
        <f t="shared" si="38"/>
        <v/>
      </c>
      <c r="BK86" s="60" t="str">
        <f t="shared" si="39"/>
        <v/>
      </c>
      <c r="BL86" s="60" t="str">
        <f t="shared" si="40"/>
        <v/>
      </c>
      <c r="BM86" s="60" t="str">
        <f t="shared" si="41"/>
        <v/>
      </c>
      <c r="BN86" s="60" t="str">
        <f t="shared" si="42"/>
        <v/>
      </c>
      <c r="BO86" s="60" t="str">
        <f t="shared" si="43"/>
        <v/>
      </c>
      <c r="BP86" s="60" t="str">
        <f t="shared" si="44"/>
        <v/>
      </c>
      <c r="BQ86" s="60" t="str">
        <f t="shared" si="45"/>
        <v/>
      </c>
      <c r="BR86" s="60" t="str">
        <f t="shared" si="46"/>
        <v/>
      </c>
      <c r="BS86" s="60" t="str">
        <f t="shared" si="47"/>
        <v/>
      </c>
      <c r="BT86" s="60" t="str">
        <f t="shared" si="48"/>
        <v/>
      </c>
      <c r="BU86" s="148" t="str">
        <f t="shared" si="49"/>
        <v/>
      </c>
      <c r="BV86" s="225" t="str">
        <f t="shared" si="50"/>
        <v/>
      </c>
      <c r="BW86" s="60" t="s">
        <v>186</v>
      </c>
      <c r="BX86" s="60">
        <f>BT66</f>
        <v>0</v>
      </c>
    </row>
    <row r="87" spans="1:76" s="97" customFormat="1" ht="16.2" customHeight="1" x14ac:dyDescent="0.3">
      <c r="A87" s="147"/>
      <c r="B87" s="287">
        <v>20</v>
      </c>
      <c r="C87" s="182" t="str">
        <f t="shared" si="11"/>
        <v/>
      </c>
      <c r="D87" s="418" t="str">
        <f t="shared" si="12"/>
        <v/>
      </c>
      <c r="E87" s="209" t="str">
        <f t="shared" si="13"/>
        <v/>
      </c>
      <c r="F87" s="739"/>
      <c r="G87" s="740"/>
      <c r="H87" s="206" t="str">
        <f t="shared" si="14"/>
        <v/>
      </c>
      <c r="I87" s="425" t="str">
        <f t="shared" si="15"/>
        <v/>
      </c>
      <c r="J87" s="741" t="str">
        <f>IFERROR(IF(F87="","",VLOOKUP(F87,'10. Condition and Temporal'!$B$6:$F$103,5,FALSE)), "Error ▲")</f>
        <v/>
      </c>
      <c r="K87" s="742"/>
      <c r="L87" s="420" t="str">
        <f t="shared" si="16"/>
        <v/>
      </c>
      <c r="M87" s="743" t="str">
        <f t="shared" si="17"/>
        <v/>
      </c>
      <c r="N87" s="744"/>
      <c r="O87" s="134"/>
      <c r="P87" s="87"/>
      <c r="R87" s="649"/>
      <c r="T87" s="219" t="str">
        <f t="shared" si="18"/>
        <v/>
      </c>
      <c r="U87" s="495" t="str">
        <f t="shared" si="19"/>
        <v/>
      </c>
      <c r="V87" s="151" t="str">
        <f t="shared" si="20"/>
        <v/>
      </c>
      <c r="W87" s="57" t="str">
        <f t="shared" si="20"/>
        <v/>
      </c>
      <c r="X87" s="151" t="str">
        <f t="shared" si="20"/>
        <v/>
      </c>
      <c r="Y87" s="496"/>
      <c r="Z87" s="353"/>
      <c r="AA87" s="500"/>
      <c r="AB87" s="57" t="str">
        <f t="shared" si="21"/>
        <v/>
      </c>
      <c r="AC87" s="501" t="str">
        <f t="shared" si="22"/>
        <v/>
      </c>
      <c r="AD87" s="219" t="str">
        <f t="shared" si="23"/>
        <v/>
      </c>
      <c r="AE87" s="219" t="str">
        <f t="shared" si="24"/>
        <v/>
      </c>
      <c r="AF87" s="504" t="str">
        <f t="shared" si="25"/>
        <v/>
      </c>
      <c r="AG87" s="495" t="str">
        <f>IF(D87="","",VLOOKUP(F87,'9. All Habitats + Multipliers'!$C$4:$K$102,5,FALSE))</f>
        <v/>
      </c>
      <c r="AH87" s="470" t="str">
        <f>IF(AG87="","",VLOOKUP(AG87,'11. Lists'!$B$47:$D$49,2,FALSE))</f>
        <v/>
      </c>
      <c r="AI87" s="57" t="str">
        <f t="shared" si="26"/>
        <v/>
      </c>
      <c r="AJ87" s="151" t="str">
        <f>IF(AI87="","",VLOOKUP(AI87,'11. Lists'!$F$47:$G$51,2,FALSE))</f>
        <v/>
      </c>
      <c r="AK87" s="372"/>
      <c r="AL87" s="350"/>
      <c r="AM87" s="499"/>
      <c r="AN87" s="57" t="str">
        <f t="shared" si="27"/>
        <v/>
      </c>
      <c r="AO87" s="56" t="str">
        <f>IF(AN87="","",VLOOKUP(AN87,'11. Lists'!$F$36:$H$38,2,FALSE))</f>
        <v/>
      </c>
      <c r="AP87" s="151" t="str">
        <f>IF(AN87="","",VLOOKUP(AN87,'11. Lists'!$F$36:$H$38,3,FALSE))</f>
        <v/>
      </c>
      <c r="AQ87" s="495" t="str">
        <f>IF(D87="","",IF(AX87="Distinctiveness","N/A",VLOOKUP(F87,'10. Condition and Temporal'!$B$6:$L$103,11,FALSE)))</f>
        <v/>
      </c>
      <c r="AR87" s="512" t="str">
        <f>IF(AQ87="","",IF(AQ87="N/A","1",VLOOKUP(AQ87,'11. Lists'!$I$47:$K$80,3,FALSE)))</f>
        <v/>
      </c>
      <c r="AS87" s="516" t="str">
        <f>IF(D87="","",IF(AX87="Condition","N/A",VLOOKUP(F87,'10. Condition and Temporal'!$B$6:$M$106,12,FALSE)))</f>
        <v/>
      </c>
      <c r="AT87" s="512" t="str">
        <f>IF(AS87="","",IF(AS87="N/A","1",VLOOKUP(AS87,'11. Lists'!$I$47:$K$80,3,FALSE)))</f>
        <v/>
      </c>
      <c r="AU87" s="495" t="str">
        <f>IF(D87="","",VLOOKUP(F87,'9. All Habitats + Multipliers'!$C$4:$K$102,8,FALSE))</f>
        <v/>
      </c>
      <c r="AV87" s="501" t="str">
        <f>IF(AU87="","",VLOOKUP(AU87,'11. Lists'!$J$35:$K$38,2,FALSE))</f>
        <v/>
      </c>
      <c r="AW87" s="219" t="str">
        <f>IF(D87="","",VLOOKUP(D87,'10. Condition and Temporal'!$B$6:$M$103,4,FALSE))</f>
        <v/>
      </c>
      <c r="AX87" s="219" t="str">
        <f t="shared" si="28"/>
        <v/>
      </c>
      <c r="AY87" s="461" t="str">
        <f t="shared" si="29"/>
        <v/>
      </c>
      <c r="BA87" s="57">
        <v>20</v>
      </c>
      <c r="BB87" s="56" t="str">
        <f t="shared" si="30"/>
        <v/>
      </c>
      <c r="BC87" s="56" t="str">
        <f t="shared" si="31"/>
        <v/>
      </c>
      <c r="BD87" s="56" t="str">
        <f t="shared" si="32"/>
        <v/>
      </c>
      <c r="BE87" s="56" t="str">
        <f t="shared" si="33"/>
        <v/>
      </c>
      <c r="BF87" s="56" t="str">
        <f t="shared" si="34"/>
        <v/>
      </c>
      <c r="BG87" s="56" t="str">
        <f t="shared" si="35"/>
        <v/>
      </c>
      <c r="BH87" s="56" t="str">
        <f t="shared" si="36"/>
        <v/>
      </c>
      <c r="BI87" s="56" t="str">
        <f t="shared" si="37"/>
        <v/>
      </c>
      <c r="BJ87" s="56" t="str">
        <f t="shared" si="38"/>
        <v/>
      </c>
      <c r="BK87" s="56" t="str">
        <f t="shared" si="39"/>
        <v/>
      </c>
      <c r="BL87" s="56" t="str">
        <f t="shared" si="40"/>
        <v/>
      </c>
      <c r="BM87" s="56" t="str">
        <f t="shared" si="41"/>
        <v/>
      </c>
      <c r="BN87" s="56" t="str">
        <f t="shared" si="42"/>
        <v/>
      </c>
      <c r="BO87" s="56" t="str">
        <f t="shared" si="43"/>
        <v/>
      </c>
      <c r="BP87" s="56" t="str">
        <f t="shared" si="44"/>
        <v/>
      </c>
      <c r="BQ87" s="56" t="str">
        <f t="shared" si="45"/>
        <v/>
      </c>
      <c r="BR87" s="56" t="str">
        <f t="shared" si="46"/>
        <v/>
      </c>
      <c r="BS87" s="56" t="str">
        <f t="shared" si="47"/>
        <v/>
      </c>
      <c r="BT87" s="56" t="str">
        <f t="shared" si="48"/>
        <v/>
      </c>
      <c r="BU87" s="151" t="str">
        <f t="shared" si="49"/>
        <v/>
      </c>
      <c r="BV87" s="225" t="str">
        <f t="shared" si="50"/>
        <v/>
      </c>
      <c r="BW87" s="60" t="s">
        <v>187</v>
      </c>
      <c r="BX87" s="60">
        <f>BU66</f>
        <v>0</v>
      </c>
    </row>
    <row r="88" spans="1:76" s="97" customFormat="1" ht="32.549999999999997" hidden="1" customHeight="1" x14ac:dyDescent="0.3">
      <c r="A88" s="147"/>
      <c r="B88" s="289" t="s">
        <v>103</v>
      </c>
      <c r="C88" s="150" t="s">
        <v>104</v>
      </c>
      <c r="D88" s="401" t="s">
        <v>105</v>
      </c>
      <c r="E88" s="150" t="str">
        <f t="shared" si="13"/>
        <v>Condition</v>
      </c>
      <c r="F88" s="708" t="s">
        <v>105</v>
      </c>
      <c r="G88" s="709"/>
      <c r="H88" s="402" t="s">
        <v>126</v>
      </c>
      <c r="I88" s="403">
        <v>0</v>
      </c>
      <c r="J88" s="710" t="str">
        <f>IF(F88="","",VLOOKUP(F88,'10. Condition and Temporal'!$B$6:$F$103,5,FALSE))</f>
        <v>Good</v>
      </c>
      <c r="K88" s="711"/>
      <c r="L88" s="404">
        <f>IFERROR(IF(D88="","",IF(AX88="Distinctiveness",(((((I88*AH88*AJ88)-(I88*V88*X88))*(AV88*AT88))+(I88*V88*X88))*(AP88))/10000,((((I88*AJ88*AH88)-(I88*V88*X88))*(AV88*AR88))+(I88*V88*X88))*AP88/10000)),"This intervention is not permitted within the SSM ▲")</f>
        <v>0</v>
      </c>
      <c r="M88" s="712">
        <f>L88-AD88</f>
        <v>0</v>
      </c>
      <c r="N88" s="713"/>
      <c r="O88" s="405"/>
      <c r="P88" s="106"/>
      <c r="R88" s="649"/>
      <c r="T88" s="211">
        <f t="shared" si="18"/>
        <v>0</v>
      </c>
      <c r="U88" s="212" t="str">
        <f t="shared" si="19"/>
        <v>Medium</v>
      </c>
      <c r="V88" s="355">
        <f t="shared" si="20"/>
        <v>4</v>
      </c>
      <c r="W88" s="212" t="str">
        <f t="shared" si="20"/>
        <v>Moderate</v>
      </c>
      <c r="X88" s="214">
        <f t="shared" si="20"/>
        <v>2</v>
      </c>
      <c r="Y88" s="354"/>
      <c r="Z88" s="354"/>
      <c r="AA88" s="354"/>
      <c r="AB88" s="214" t="str">
        <f t="shared" si="21"/>
        <v>Formally identified in local strategy</v>
      </c>
      <c r="AC88" s="214">
        <f t="shared" si="22"/>
        <v>1.1499999999999999</v>
      </c>
      <c r="AD88" s="213">
        <f>IF(AC88="","",(T88*V88*X88)*(AA88*AC88)/10000)</f>
        <v>0</v>
      </c>
      <c r="AE88" s="221" t="str">
        <f t="shared" si="24"/>
        <v>Acceptable</v>
      </c>
      <c r="AF88" s="211">
        <f t="shared" si="25"/>
        <v>0</v>
      </c>
      <c r="AG88" s="212" t="str">
        <f>IF(D88="","",VLOOKUP(F88,'9. All Habitats + Multipliers'!$C$4:$K$102,5,FALSE))</f>
        <v>Medium</v>
      </c>
      <c r="AH88" s="213">
        <f>IF(AG88="","",VLOOKUP(AG88,'11. Lists'!$B$47:$D$49,2,FALSE))</f>
        <v>4</v>
      </c>
      <c r="AI88" s="506" t="str">
        <f t="shared" si="26"/>
        <v>Good</v>
      </c>
      <c r="AJ88" s="495">
        <f>IF(AI88="","",VLOOKUP(AI88,'11. Lists'!$F$47:$G$51,2,FALSE))</f>
        <v>3</v>
      </c>
      <c r="AK88" s="365"/>
      <c r="AL88" s="365"/>
      <c r="AM88" s="365"/>
      <c r="AN88" s="501" t="str">
        <f t="shared" si="27"/>
        <v>Area/compensation not in local strategy/ no local strategy</v>
      </c>
      <c r="AO88" s="509" t="str">
        <f>IF(AN88="","",VLOOKUP(AN88,'11. Lists'!$F$36:$H$38,2,FALSE))</f>
        <v>Low Strategic Significance</v>
      </c>
      <c r="AP88" s="501">
        <f>IF(AN88="","",VLOOKUP(AN88,'11. Lists'!$F$36:$H$38,3,FALSE))</f>
        <v>1</v>
      </c>
      <c r="AQ88" s="212">
        <f>IF(D88="","",VLOOKUP(F88,'10. Condition and Temporal'!$B$6:$L$103,11,FALSE))</f>
        <v>16</v>
      </c>
      <c r="AR88" s="216">
        <f>IF(AQ88="","",VLOOKUP(AQ88,'11. Lists'!$I$47:$K$80,3,FALSE))</f>
        <v>0.56550573479999999</v>
      </c>
      <c r="AS88" s="513" t="str">
        <f>IF(D88="","",VLOOKUP(F88,'10. Condition and Temporal'!$B$6:$M$106,12,FALSE))</f>
        <v>Not Possible</v>
      </c>
      <c r="AT88" s="163" t="str">
        <f>IF(AS88="","",IF(AS88="N/A","1",VLOOKUP(AS88,'11. Lists'!$I$47:$K$80,3,FALSE)))</f>
        <v>N/A</v>
      </c>
      <c r="AU88" s="215" t="str">
        <f>IF(D88="","",VLOOKUP(F88,'9. All Habitats + Multipliers'!$C$4:$K$102,8,FALSE))</f>
        <v>Low</v>
      </c>
      <c r="AV88" s="213">
        <f>IF(AU88="","",VLOOKUP(AU88,'11. Lists'!$J$35:$K$38,2,FALSE))</f>
        <v>1</v>
      </c>
      <c r="AW88" s="212" t="str">
        <f>IF(D88="","",VLOOKUP(D88,'10. Condition and Temporal'!$B$6:$M$103,4,FALSE))</f>
        <v>Urban/rural tree</v>
      </c>
      <c r="AX88" s="213" t="str">
        <f>IF(F88="","",IF(D88=F88,"Condition","Distinctivness"))</f>
        <v>Condition</v>
      </c>
      <c r="AY88" s="97" t="str">
        <f>C88</f>
        <v>Individual trees</v>
      </c>
    </row>
    <row r="89" spans="1:76" s="97" customFormat="1" ht="15" customHeight="1" x14ac:dyDescent="0.3">
      <c r="H89" s="217" t="s">
        <v>107</v>
      </c>
      <c r="I89" s="332">
        <f>SUMIFS(I68:I87,F68:F87,"&lt;&gt;"&amp;'11. Lists'!Q10,F68:F87,"&lt;&gt;"&amp;'11. Lists'!Q11,F68:F87,"&lt;&gt;"&amp;'11. Lists'!I4,F68:F87,"&lt;&gt;"&amp;'11. Lists'!I2,F68:F87,"&lt;&gt;"&amp;'11. Lists'!I3)</f>
        <v>0</v>
      </c>
      <c r="J89" s="248"/>
      <c r="K89" s="246"/>
      <c r="L89" s="51">
        <f>SUM(L68:L88)</f>
        <v>0</v>
      </c>
      <c r="M89" s="714">
        <f>SUM(M68:N88)</f>
        <v>0</v>
      </c>
      <c r="N89" s="713"/>
      <c r="R89" s="649"/>
    </row>
    <row r="90" spans="1:76" s="97" customFormat="1" x14ac:dyDescent="0.3">
      <c r="C90" s="98"/>
      <c r="R90" s="649"/>
    </row>
    <row r="91" spans="1:76" s="97" customFormat="1" ht="21" customHeight="1" x14ac:dyDescent="0.4">
      <c r="B91" s="119" t="s">
        <v>188</v>
      </c>
      <c r="R91" s="649"/>
    </row>
    <row r="92" spans="1:76" s="97" customFormat="1" ht="15" customHeight="1" x14ac:dyDescent="0.3">
      <c r="D92" s="146"/>
      <c r="R92" s="649"/>
    </row>
    <row r="93" spans="1:76" s="97" customFormat="1" ht="48" customHeight="1" x14ac:dyDescent="0.3">
      <c r="B93" s="715" t="s">
        <v>189</v>
      </c>
      <c r="C93" s="716"/>
      <c r="D93" s="719" t="s">
        <v>190</v>
      </c>
      <c r="E93" s="721" t="s">
        <v>191</v>
      </c>
      <c r="F93" s="722"/>
      <c r="G93" s="721" t="s">
        <v>192</v>
      </c>
      <c r="H93" s="716"/>
      <c r="I93" s="725" t="s">
        <v>193</v>
      </c>
      <c r="J93" s="726"/>
      <c r="K93" s="726"/>
      <c r="L93" s="726"/>
      <c r="M93" s="726"/>
      <c r="N93" s="726"/>
      <c r="O93" s="726"/>
      <c r="P93" s="727"/>
      <c r="R93" s="649"/>
    </row>
    <row r="94" spans="1:76" s="97" customFormat="1" ht="15.75" customHeight="1" x14ac:dyDescent="0.3">
      <c r="B94" s="717"/>
      <c r="C94" s="718"/>
      <c r="D94" s="720"/>
      <c r="E94" s="723"/>
      <c r="F94" s="724"/>
      <c r="G94" s="723"/>
      <c r="H94" s="718"/>
      <c r="I94" s="728" t="s">
        <v>194</v>
      </c>
      <c r="J94" s="729"/>
      <c r="K94" s="730"/>
      <c r="L94" s="731" t="s">
        <v>195</v>
      </c>
      <c r="M94" s="729"/>
      <c r="N94" s="730"/>
      <c r="O94" s="731" t="s">
        <v>196</v>
      </c>
      <c r="P94" s="732"/>
      <c r="R94" s="649"/>
    </row>
    <row r="95" spans="1:76" s="97" customFormat="1" ht="23.25" customHeight="1" x14ac:dyDescent="0.3">
      <c r="B95" s="697" t="s">
        <v>197</v>
      </c>
      <c r="C95" s="698"/>
      <c r="D95" s="198"/>
      <c r="E95" s="699"/>
      <c r="F95" s="700"/>
      <c r="G95" s="701"/>
      <c r="H95" s="702"/>
      <c r="I95" s="703">
        <f>D95*'11. Lists'!P47</f>
        <v>0</v>
      </c>
      <c r="J95" s="704"/>
      <c r="K95" s="705"/>
      <c r="L95" s="706">
        <f>IF(E95&gt;D95, "Error ▲", E95*'11. Lists'!P47)</f>
        <v>0</v>
      </c>
      <c r="M95" s="704"/>
      <c r="N95" s="705"/>
      <c r="O95" s="706">
        <f>G95*'11. Lists'!P47</f>
        <v>0</v>
      </c>
      <c r="P95" s="707"/>
      <c r="R95" s="649"/>
    </row>
    <row r="96" spans="1:76" s="97" customFormat="1" ht="24.75" customHeight="1" x14ac:dyDescent="0.3">
      <c r="B96" s="686" t="s">
        <v>198</v>
      </c>
      <c r="C96" s="687"/>
      <c r="D96" s="243"/>
      <c r="E96" s="688"/>
      <c r="F96" s="689"/>
      <c r="G96" s="690"/>
      <c r="H96" s="691"/>
      <c r="I96" s="692">
        <f>D96*'11. Lists'!P48</f>
        <v>0</v>
      </c>
      <c r="J96" s="693"/>
      <c r="K96" s="694"/>
      <c r="L96" s="695">
        <f>IF(E96&gt;D96,"Error ▲",(E96*'11. Lists'!P48))</f>
        <v>0</v>
      </c>
      <c r="M96" s="693"/>
      <c r="N96" s="694"/>
      <c r="O96" s="695">
        <f>G96*'11. Lists'!P48</f>
        <v>0</v>
      </c>
      <c r="P96" s="696"/>
      <c r="R96" s="649"/>
    </row>
    <row r="97" spans="1:18" s="97" customFormat="1" ht="24.75" customHeight="1" x14ac:dyDescent="0.3">
      <c r="B97" s="686" t="s">
        <v>199</v>
      </c>
      <c r="C97" s="687"/>
      <c r="D97" s="243"/>
      <c r="E97" s="688"/>
      <c r="F97" s="689"/>
      <c r="G97" s="690"/>
      <c r="H97" s="691"/>
      <c r="I97" s="692">
        <f>D97*'11. Lists'!P49</f>
        <v>0</v>
      </c>
      <c r="J97" s="693"/>
      <c r="K97" s="694"/>
      <c r="L97" s="695">
        <f>IF(E97&gt;D97,"Error ▲",(E97*'11. Lists'!P49))</f>
        <v>0</v>
      </c>
      <c r="M97" s="693"/>
      <c r="N97" s="694"/>
      <c r="O97" s="695">
        <f>G97*'11. Lists'!P49</f>
        <v>0</v>
      </c>
      <c r="P97" s="696"/>
      <c r="R97" s="649"/>
    </row>
    <row r="98" spans="1:18" s="97" customFormat="1" ht="24.75" customHeight="1" x14ac:dyDescent="0.3">
      <c r="B98" s="686" t="s">
        <v>200</v>
      </c>
      <c r="C98" s="687"/>
      <c r="D98" s="243"/>
      <c r="E98" s="688"/>
      <c r="F98" s="689"/>
      <c r="G98" s="690"/>
      <c r="H98" s="691"/>
      <c r="I98" s="692">
        <f>D98*'11. Lists'!P50</f>
        <v>0</v>
      </c>
      <c r="J98" s="693"/>
      <c r="K98" s="694"/>
      <c r="L98" s="695">
        <f>IF(E98&gt;D98,"Error ▲",(E98*'11. Lists'!P50))</f>
        <v>0</v>
      </c>
      <c r="M98" s="693"/>
      <c r="N98" s="694"/>
      <c r="O98" s="695">
        <f>G98*'11. Lists'!P50</f>
        <v>0</v>
      </c>
      <c r="P98" s="696"/>
      <c r="R98" s="649"/>
    </row>
    <row r="99" spans="1:18" s="97" customFormat="1" ht="24.75" customHeight="1" x14ac:dyDescent="0.3">
      <c r="B99" s="637" t="s">
        <v>201</v>
      </c>
      <c r="C99" s="677"/>
      <c r="D99" s="306">
        <f>SUM(D95:D98)</f>
        <v>0</v>
      </c>
      <c r="E99" s="678">
        <f>SUM(E95:F98)</f>
        <v>0</v>
      </c>
      <c r="F99" s="679"/>
      <c r="G99" s="678">
        <f>SUM(G95:H98)</f>
        <v>0</v>
      </c>
      <c r="H99" s="680"/>
      <c r="I99" s="679">
        <f>SUM(I95:K98)</f>
        <v>0</v>
      </c>
      <c r="J99" s="681"/>
      <c r="K99" s="681"/>
      <c r="L99" s="681">
        <f>SUM(L95:N98)</f>
        <v>0</v>
      </c>
      <c r="M99" s="681"/>
      <c r="N99" s="681"/>
      <c r="O99" s="678">
        <f>SUM(O95:P98)</f>
        <v>0</v>
      </c>
      <c r="P99" s="680"/>
      <c r="R99" s="649"/>
    </row>
    <row r="100" spans="1:18" s="97" customFormat="1" ht="19.2" customHeight="1" x14ac:dyDescent="0.3">
      <c r="E100" s="682" t="str">
        <f>IFERROR(IF(OR(E95&gt;D95, E96&gt;D96, E97&gt;D97, E98&gt;D98), "Error - trees retained and lost is greater than number of pre-development trees ▲", ""), "Error  ▲")</f>
        <v/>
      </c>
      <c r="F100" s="682"/>
      <c r="G100" s="682"/>
      <c r="R100" s="649"/>
    </row>
    <row r="101" spans="1:18" s="97" customFormat="1" x14ac:dyDescent="0.3">
      <c r="R101" s="649"/>
    </row>
    <row r="102" spans="1:18" s="97" customFormat="1" x14ac:dyDescent="0.3">
      <c r="A102" s="683" t="s">
        <v>202</v>
      </c>
      <c r="B102" s="683"/>
      <c r="C102" s="683"/>
      <c r="D102" s="683"/>
      <c r="E102" s="683"/>
      <c r="F102" s="683"/>
      <c r="G102" s="683"/>
      <c r="H102" s="683"/>
      <c r="I102" s="683"/>
      <c r="J102" s="683"/>
      <c r="K102" s="683"/>
      <c r="L102" s="683"/>
      <c r="M102" s="683"/>
      <c r="N102" s="683"/>
      <c r="O102" s="683"/>
      <c r="P102" s="683"/>
      <c r="Q102" s="683"/>
      <c r="R102" s="649"/>
    </row>
    <row r="103" spans="1:18" s="97" customFormat="1" x14ac:dyDescent="0.3">
      <c r="A103" s="683"/>
      <c r="B103" s="683"/>
      <c r="C103" s="683"/>
      <c r="D103" s="683"/>
      <c r="E103" s="683"/>
      <c r="F103" s="683"/>
      <c r="G103" s="683"/>
      <c r="H103" s="683"/>
      <c r="I103" s="683"/>
      <c r="J103" s="683"/>
      <c r="K103" s="683"/>
      <c r="L103" s="683"/>
      <c r="M103" s="683"/>
      <c r="N103" s="683"/>
      <c r="O103" s="683"/>
      <c r="P103" s="683"/>
      <c r="Q103" s="683"/>
      <c r="R103" s="649"/>
    </row>
    <row r="104" spans="1:18" s="97" customFormat="1" x14ac:dyDescent="0.3">
      <c r="A104" s="683"/>
      <c r="B104" s="683"/>
      <c r="C104" s="683"/>
      <c r="D104" s="683"/>
      <c r="E104" s="683"/>
      <c r="F104" s="683"/>
      <c r="G104" s="683"/>
      <c r="H104" s="683"/>
      <c r="I104" s="683"/>
      <c r="J104" s="683"/>
      <c r="K104" s="683"/>
      <c r="L104" s="683"/>
      <c r="M104" s="683"/>
      <c r="N104" s="683"/>
      <c r="O104" s="683"/>
      <c r="P104" s="683"/>
      <c r="Q104" s="683"/>
      <c r="R104" s="649"/>
    </row>
    <row r="105" spans="1:18" s="97" customFormat="1" x14ac:dyDescent="0.3">
      <c r="R105" s="649"/>
    </row>
    <row r="106" spans="1:18" s="97" customFormat="1" ht="21" customHeight="1" x14ac:dyDescent="0.4">
      <c r="B106" s="119" t="s">
        <v>203</v>
      </c>
      <c r="D106" s="98"/>
      <c r="E106" s="98"/>
      <c r="F106" s="98"/>
      <c r="G106" s="98"/>
      <c r="R106" s="649"/>
    </row>
    <row r="107" spans="1:18" s="97" customFormat="1" ht="15" customHeight="1" x14ac:dyDescent="0.3">
      <c r="R107" s="649"/>
    </row>
    <row r="108" spans="1:18" s="97" customFormat="1" ht="36.75" customHeight="1" x14ac:dyDescent="0.3">
      <c r="B108" s="674" t="s">
        <v>204</v>
      </c>
      <c r="C108" s="675"/>
      <c r="D108" s="676"/>
      <c r="E108" s="684" t="str">
        <f>IF(SUM(J114:J135)&gt;0,"Error - Trading Rules Not Satisfied - Insufficient Units Created Within Habitat Groups ▲", "Trading Rules Satisfied ✓")</f>
        <v>Trading Rules Satisfied ✓</v>
      </c>
      <c r="F108" s="684"/>
      <c r="G108" s="684"/>
      <c r="H108" s="684"/>
      <c r="I108" s="685"/>
      <c r="J108" s="200">
        <f>IFERROR(FIND("Error",E108),0)</f>
        <v>0</v>
      </c>
      <c r="R108" s="649"/>
    </row>
    <row r="109" spans="1:18" s="97" customFormat="1" ht="36" customHeight="1" x14ac:dyDescent="0.3">
      <c r="B109" s="656" t="s">
        <v>205</v>
      </c>
      <c r="C109" s="657"/>
      <c r="D109" s="658"/>
      <c r="E109" s="659" t="str">
        <f>IF(SUM(J138:J140)&gt;0,"Error - Trading Rules Not Satisfied - Insufficient Biodiversity Units Created ▲","Trading Rules Satisfied ✓")</f>
        <v>Error - Trading Rules Not Satisfied - Insufficient Biodiversity Units Created ▲</v>
      </c>
      <c r="F109" s="659"/>
      <c r="G109" s="659"/>
      <c r="H109" s="659"/>
      <c r="I109" s="660"/>
      <c r="J109" s="200">
        <f>IFERROR(FIND("Error",E109),0)</f>
        <v>1</v>
      </c>
      <c r="R109" s="649"/>
    </row>
    <row r="110" spans="1:18" s="97" customFormat="1" x14ac:dyDescent="0.3">
      <c r="R110" s="649"/>
    </row>
    <row r="111" spans="1:18" s="97" customFormat="1" ht="21" customHeight="1" x14ac:dyDescent="0.4">
      <c r="B111" s="119" t="s">
        <v>206</v>
      </c>
      <c r="R111" s="649"/>
    </row>
    <row r="112" spans="1:18" s="97" customFormat="1" ht="15" customHeight="1" x14ac:dyDescent="0.3">
      <c r="R112" s="649"/>
    </row>
    <row r="113" spans="2:18" s="97" customFormat="1" ht="36.75" customHeight="1" x14ac:dyDescent="0.3">
      <c r="B113" s="661" t="s">
        <v>207</v>
      </c>
      <c r="C113" s="662"/>
      <c r="D113" s="662"/>
      <c r="E113" s="242" t="s">
        <v>208</v>
      </c>
      <c r="F113" s="242" t="s">
        <v>209</v>
      </c>
      <c r="G113" s="242" t="s">
        <v>210</v>
      </c>
      <c r="H113" s="242" t="s">
        <v>211</v>
      </c>
      <c r="I113" s="165" t="s">
        <v>212</v>
      </c>
      <c r="J113" s="428"/>
      <c r="R113" s="649"/>
    </row>
    <row r="114" spans="2:18" s="97" customFormat="1" ht="15.75" customHeight="1" x14ac:dyDescent="0.3">
      <c r="B114" s="663" t="s">
        <v>213</v>
      </c>
      <c r="C114" s="664"/>
      <c r="D114" s="665"/>
      <c r="E114" s="166" t="s">
        <v>214</v>
      </c>
      <c r="F114" s="167">
        <f>SUMIFS($L$11:$L$30,$C$11:$C$30,$B114,$T$11:$T$30,$E114)</f>
        <v>0</v>
      </c>
      <c r="G114" s="167">
        <f>SUMIFS($L$40:$L$59,$C$40:$C$59,$B114,$T$40:$T$59,$E114)+SUMIFS($L$68:$L$87,AY68:AY87,B114,$AG$68:$AG$87,E114)+SUMIFS($AE$11:$AE$31,$C$11:$C$31,B114,$T$11:$T$31,E114)</f>
        <v>0</v>
      </c>
      <c r="H114" s="167">
        <f t="shared" ref="H114:H135" si="51">G114-F114</f>
        <v>0</v>
      </c>
      <c r="I114" s="168" t="s">
        <v>215</v>
      </c>
      <c r="J114" s="200"/>
      <c r="R114" s="649"/>
    </row>
    <row r="115" spans="2:18" s="97" customFormat="1" ht="15.75" customHeight="1" x14ac:dyDescent="0.3">
      <c r="B115" s="666"/>
      <c r="C115" s="667"/>
      <c r="D115" s="668"/>
      <c r="E115" s="169" t="s">
        <v>216</v>
      </c>
      <c r="F115" s="167">
        <f>SUMIFS($L$11:$L$30,$C$11:$C$30,$B114,$T$11:$T$30,$E115)</f>
        <v>0</v>
      </c>
      <c r="G115" s="167">
        <f>SUMIFS($L$40:$L$59,$C$40:$C$59,$B114,$T$40:$T$59,$E115)+SUMIFS($L$68:$L$87,AY68:AY87,B114,$AG$68:$AG$87,E115)+SUMIFS($AE$11:$AE$31,$C$11:$C$31,B114,$T$11:$T$31,E115)</f>
        <v>0</v>
      </c>
      <c r="H115" s="167">
        <f t="shared" si="51"/>
        <v>0</v>
      </c>
      <c r="I115" s="170" t="str">
        <f>IF(F115=0,"N/A",IF(H115&lt;0,"No ▲","Yes ✓"))</f>
        <v>N/A</v>
      </c>
      <c r="J115" s="200">
        <f>IF(I115="No ▲",1,0)</f>
        <v>0</v>
      </c>
      <c r="R115" s="649"/>
    </row>
    <row r="116" spans="2:18" s="97" customFormat="1" ht="15.75" customHeight="1" x14ac:dyDescent="0.3">
      <c r="B116" s="663" t="s">
        <v>217</v>
      </c>
      <c r="C116" s="664"/>
      <c r="D116" s="665"/>
      <c r="E116" s="166" t="s">
        <v>214</v>
      </c>
      <c r="F116" s="167">
        <f>SUMIFS($L$11:$L$30,$C$11:$C$30,$B116,$T$11:$T$30,$E116)</f>
        <v>0</v>
      </c>
      <c r="G116" s="167">
        <f>SUMIFS($L$40:$L$59,$C$40:$C$59,$B116,$T$40:$T$59,$E116)+SUMIFS($L$68:$L$87,AY68:AY87,B116,$AG$68:$AG$87,E116)+SUMIFS($AE$11:$AE$31,$C$11:$C$31,B116,$T$11:$T$31,E116)</f>
        <v>0</v>
      </c>
      <c r="H116" s="167">
        <f t="shared" si="51"/>
        <v>0</v>
      </c>
      <c r="I116" s="168" t="s">
        <v>215</v>
      </c>
      <c r="J116" s="200"/>
      <c r="R116" s="649"/>
    </row>
    <row r="117" spans="2:18" s="97" customFormat="1" ht="15.75" customHeight="1" x14ac:dyDescent="0.3">
      <c r="B117" s="666"/>
      <c r="C117" s="667"/>
      <c r="D117" s="668"/>
      <c r="E117" s="169" t="s">
        <v>216</v>
      </c>
      <c r="F117" s="167">
        <f>SUMIFS($L$11:$L$30,$C$11:$C$30,$B116,$T$11:$T$30,$E117)</f>
        <v>0</v>
      </c>
      <c r="G117" s="167">
        <f>SUMIFS($L$40:$L$59,$C$40:$C$59,$B116,$T$40:$T$59,$E117)+SUMIFS($L$68:$L$87,AY68:AY87,B116,$AG$68:$AG$87,E117)+SUMIFS($AE$11:$AE$31,$C$11:$C$31,B116,$T$11:$T$31,E117)</f>
        <v>0</v>
      </c>
      <c r="H117" s="167">
        <f t="shared" si="51"/>
        <v>0</v>
      </c>
      <c r="I117" s="170" t="str">
        <f>IF(F117=0,"N/A",IF(H117&lt;0,"No ▲","Yes ✓"))</f>
        <v>N/A</v>
      </c>
      <c r="J117" s="200">
        <f>IF(I117="No ▲",1,0)</f>
        <v>0</v>
      </c>
      <c r="R117" s="649"/>
    </row>
    <row r="118" spans="2:18" s="97" customFormat="1" ht="15.75" customHeight="1" x14ac:dyDescent="0.3">
      <c r="B118" s="663" t="s">
        <v>218</v>
      </c>
      <c r="C118" s="664"/>
      <c r="D118" s="665"/>
      <c r="E118" s="166" t="s">
        <v>214</v>
      </c>
      <c r="F118" s="167">
        <f>SUMIFS($L$11:$L$30,$C$11:$C$30,$B118,$T$11:$T$30,$E118)</f>
        <v>0</v>
      </c>
      <c r="G118" s="167">
        <f>SUMIFS($L$40:$L$59,$C$40:$C$59,$B118,$T$40:$T$59,$E118)+SUMIFS($L$68:$L$87,$C$68:$C$87,B118,$AG$68:$AG$87,E118)+SUMIFS($AE$11:$AE$31,$C$11:$C$31,B118,$T$11:$T$31,E118)</f>
        <v>0</v>
      </c>
      <c r="H118" s="167">
        <f t="shared" si="51"/>
        <v>0</v>
      </c>
      <c r="I118" s="168" t="s">
        <v>215</v>
      </c>
      <c r="J118" s="200"/>
      <c r="R118" s="649"/>
    </row>
    <row r="119" spans="2:18" s="97" customFormat="1" ht="15.75" customHeight="1" x14ac:dyDescent="0.3">
      <c r="B119" s="666"/>
      <c r="C119" s="667"/>
      <c r="D119" s="668"/>
      <c r="E119" s="169" t="s">
        <v>216</v>
      </c>
      <c r="F119" s="167">
        <f>SUMIFS($L$11:$L$30,$C$11:$C$30,$B118,$T$11:$T$30,$E119)</f>
        <v>0</v>
      </c>
      <c r="G119" s="167">
        <f>SUMIFS($L$40:$L$59,$C$40:$C$59,$B118,$T$40:$T$59,$E119)+SUMIFS($L$68:$L$87,$C$68:$C$87,B118,$AG$68:$AG$87,E119)+SUMIFS($AE$11:$AE$31,$C$11:$C$31,B118,$T$11:$T$31,E119)</f>
        <v>0</v>
      </c>
      <c r="H119" s="167">
        <f t="shared" si="51"/>
        <v>0</v>
      </c>
      <c r="I119" s="170" t="str">
        <f>IF(F119=0,"N/A",IF(H119&lt;0,"No ▲","Yes ✓"))</f>
        <v>N/A</v>
      </c>
      <c r="J119" s="200">
        <f>IF(I119="No ▲",1,0)</f>
        <v>0</v>
      </c>
      <c r="R119" s="649"/>
    </row>
    <row r="120" spans="2:18" s="97" customFormat="1" ht="15.75" customHeight="1" x14ac:dyDescent="0.3">
      <c r="B120" s="663" t="s">
        <v>219</v>
      </c>
      <c r="C120" s="664"/>
      <c r="D120" s="665"/>
      <c r="E120" s="166" t="s">
        <v>214</v>
      </c>
      <c r="F120" s="167">
        <f>SUMIFS($L$11:$L$30,$C$11:$C$30,$B120,$T$11:$T$30,$E120)</f>
        <v>0</v>
      </c>
      <c r="G120" s="167">
        <f>SUMIFS($L$40:$L$59,$C$40:$C$59,$B120,$T$40:$T$59,$E120)+SUMIFS($L$68:$L$87,$C$68:$C$87,B120,$AG$68:$AG$87,E120)+SUMIFS($AE$11:$AE$31,$C$11:$C$31,B120,$T$11:$T$31,E120)</f>
        <v>0</v>
      </c>
      <c r="H120" s="167">
        <f t="shared" si="51"/>
        <v>0</v>
      </c>
      <c r="I120" s="168" t="s">
        <v>215</v>
      </c>
      <c r="J120" s="200"/>
      <c r="R120" s="649"/>
    </row>
    <row r="121" spans="2:18" s="97" customFormat="1" ht="15.75" customHeight="1" x14ac:dyDescent="0.3">
      <c r="B121" s="666"/>
      <c r="C121" s="667"/>
      <c r="D121" s="668"/>
      <c r="E121" s="169" t="s">
        <v>216</v>
      </c>
      <c r="F121" s="167">
        <f>SUMIFS($L$11:$L$30,$C$11:$C$30,$B120,$T$11:$T$30,$E121)</f>
        <v>0</v>
      </c>
      <c r="G121" s="167">
        <f>SUMIFS($L$40:$L$59,$C$40:$C$59,$B120,$T$40:$T$59,$E121)+SUMIFS($L$68:$L$87,$C$68:$C$87,B120,$AG$68:$AG$87,E121)+SUMIFS($AE$11:$AE$31,$C$11:$C$31,B120,$T$11:$T$31,E121)</f>
        <v>0</v>
      </c>
      <c r="H121" s="167">
        <f t="shared" si="51"/>
        <v>0</v>
      </c>
      <c r="I121" s="170" t="str">
        <f>IF(F121=0,"N/A",IF(H121&lt;0,"No ▲","Yes ✓"))</f>
        <v>N/A</v>
      </c>
      <c r="J121" s="200">
        <f>IF(I121="No ▲",1,0)</f>
        <v>0</v>
      </c>
      <c r="R121" s="649"/>
    </row>
    <row r="122" spans="2:18" s="97" customFormat="1" ht="15.75" customHeight="1" x14ac:dyDescent="0.3">
      <c r="B122" s="663" t="s">
        <v>220</v>
      </c>
      <c r="C122" s="664"/>
      <c r="D122" s="665"/>
      <c r="E122" s="166" t="s">
        <v>214</v>
      </c>
      <c r="F122" s="167">
        <f>SUMIFS($L$11:$L$30,$C$11:$C$30,$B122,$T$11:$T$30,$E122)</f>
        <v>0</v>
      </c>
      <c r="G122" s="167">
        <f>SUMIFS($L$40:$L$59,$C$40:$C$59,$B122,$T$40:$T$59,$E122)+SUMIFS($L$68:$L$87,$C$68:$C$87,B122,$AG$68:$AG$87,E122)+SUMIFS($AE$11:$AE$31,$C$11:$C$31,B122,$T$11:$T$31,E122)</f>
        <v>0</v>
      </c>
      <c r="H122" s="167">
        <f t="shared" si="51"/>
        <v>0</v>
      </c>
      <c r="I122" s="168" t="s">
        <v>215</v>
      </c>
      <c r="J122" s="200"/>
      <c r="R122" s="649"/>
    </row>
    <row r="123" spans="2:18" s="97" customFormat="1" ht="15.75" customHeight="1" x14ac:dyDescent="0.3">
      <c r="B123" s="666"/>
      <c r="C123" s="667"/>
      <c r="D123" s="668"/>
      <c r="E123" s="169" t="s">
        <v>216</v>
      </c>
      <c r="F123" s="167">
        <f>SUMIFS($L$11:$L$30,$C$11:$C$30,$B122,$T$11:$T$30,$E123)</f>
        <v>0</v>
      </c>
      <c r="G123" s="167">
        <f>SUMIFS($L$40:$L$59,$C$40:$C$59,$B$122,$T$40:$T$59,$E$123)+SUMIFS($L$68:$L$87,$C$68:$C$87,$B$122,$AG$68:$AG$87,$E$123)+SUMIFS($AE$11:$AE$31,$C$11:$C$31,$B$122,$T$11:$T$31,$E$123)</f>
        <v>0</v>
      </c>
      <c r="H123" s="167">
        <f t="shared" si="51"/>
        <v>0</v>
      </c>
      <c r="I123" s="170" t="str">
        <f>IF(F123=0,"N/A",IF(H123&lt;0,"No ▲","Yes ✓"))</f>
        <v>N/A</v>
      </c>
      <c r="J123" s="200">
        <f>IF(I123="No ▲",1,0)</f>
        <v>0</v>
      </c>
      <c r="R123" s="649"/>
    </row>
    <row r="124" spans="2:18" s="97" customFormat="1" ht="15.75" customHeight="1" x14ac:dyDescent="0.3">
      <c r="B124" s="663" t="s">
        <v>221</v>
      </c>
      <c r="C124" s="664"/>
      <c r="D124" s="665"/>
      <c r="E124" s="166" t="s">
        <v>214</v>
      </c>
      <c r="F124" s="167">
        <f>SUMIFS($L$11:$L$30,$C$11:$C$30,$B124,$T$11:$T$30,$E124)</f>
        <v>0</v>
      </c>
      <c r="G124" s="167">
        <f>SUMIFS($L$40:$L$59,$C$40:$C$59,$B124,$T$40:$T$59,$E124)+SUMIFS($L$68:$L$87,$C$68:$C$87,B124,$AG$68:$AG$87,E124)+SUMIFS($AE$11:$AE$31,$C$11:$C$31,B124,$T$11:$T$31,E124)</f>
        <v>0</v>
      </c>
      <c r="H124" s="167">
        <f t="shared" si="51"/>
        <v>0</v>
      </c>
      <c r="I124" s="168" t="s">
        <v>215</v>
      </c>
      <c r="J124" s="200"/>
      <c r="R124" s="649"/>
    </row>
    <row r="125" spans="2:18" s="97" customFormat="1" ht="15.75" customHeight="1" x14ac:dyDescent="0.3">
      <c r="B125" s="666"/>
      <c r="C125" s="667"/>
      <c r="D125" s="668"/>
      <c r="E125" s="169" t="s">
        <v>216</v>
      </c>
      <c r="F125" s="167">
        <f>SUMIFS($L$11:$L$30,$C$11:$C$30,$B124,$T$11:$T$30,$E125)</f>
        <v>0</v>
      </c>
      <c r="G125" s="167">
        <f>SUMIFS($L$40:$L$59,$C$40:$C$59,$B$124,$T$40:$T$59,$E125)+SUMIFS($L$68:$L$87,$C$68:$C$87,B124,$AG$68:$AG$87,E125)+SUMIFS($AE$11:$AE$31,$C$11:$C$31,$B$124,$T$11:$T$31,$E$125)</f>
        <v>0</v>
      </c>
      <c r="H125" s="167">
        <f t="shared" si="51"/>
        <v>0</v>
      </c>
      <c r="I125" s="170" t="str">
        <f>IF(F125=0,"N/A",IF(H125&lt;0,"No ▲","Yes ✓"))</f>
        <v>N/A</v>
      </c>
      <c r="J125" s="200">
        <f>IF(I125="No ▲",1,0)</f>
        <v>0</v>
      </c>
      <c r="R125" s="649"/>
    </row>
    <row r="126" spans="2:18" s="97" customFormat="1" ht="15.75" customHeight="1" x14ac:dyDescent="0.3">
      <c r="B126" s="663" t="s">
        <v>222</v>
      </c>
      <c r="C126" s="664"/>
      <c r="D126" s="665"/>
      <c r="E126" s="166" t="s">
        <v>214</v>
      </c>
      <c r="F126" s="167">
        <f>SUMIFS($L$11:$L$30,$C$11:$C$30,$B126,$T$11:$T$30,$E126)</f>
        <v>0</v>
      </c>
      <c r="G126" s="167">
        <f>SUMIFS($L$40:$L$59,$C$40:$C$59,$B126,$T$40:$T$59,$E126)+SUMIFS($L$68:$L$87,AY68:AY87,B126,$AG$68:$AG$87,E126)+SUMIFS($AE$11:$AE$31,$C$11:$C$31,B126,$T$11:$T$31,E126)</f>
        <v>0</v>
      </c>
      <c r="H126" s="167">
        <f t="shared" si="51"/>
        <v>0</v>
      </c>
      <c r="I126" s="168" t="s">
        <v>215</v>
      </c>
      <c r="J126" s="200"/>
      <c r="R126" s="649"/>
    </row>
    <row r="127" spans="2:18" s="97" customFormat="1" ht="15.75" customHeight="1" x14ac:dyDescent="0.3">
      <c r="B127" s="666"/>
      <c r="C127" s="667"/>
      <c r="D127" s="668"/>
      <c r="E127" s="169" t="s">
        <v>216</v>
      </c>
      <c r="F127" s="167">
        <f>SUMIFS($L$11:$L$30,$C$11:$C$30,$B126,$T$11:$T$30,$E127)</f>
        <v>0</v>
      </c>
      <c r="G127" s="167">
        <f>SUMIFS($L$40:$L$59,$C$40:$C$59,$B126,$T$40:$T$59,$E127)+SUMIFS($L$68:$L$87,AY68:AY87,B126,$AG$68:$AG$87,E127)+SUMIFS($AE$11:$AE$31,$C$11:$C$31,B126,$T$11:$T$31,E127)</f>
        <v>0</v>
      </c>
      <c r="H127" s="167">
        <f t="shared" si="51"/>
        <v>0</v>
      </c>
      <c r="I127" s="170" t="str">
        <f>IF(F127=0,"N/A",IF(H127&lt;0,"No ▲","Yes ✓"))</f>
        <v>N/A</v>
      </c>
      <c r="J127" s="200">
        <f>IF(I127="No ▲",1,0)</f>
        <v>0</v>
      </c>
      <c r="R127" s="649"/>
    </row>
    <row r="128" spans="2:18" s="97" customFormat="1" ht="15.75" customHeight="1" x14ac:dyDescent="0.3">
      <c r="B128" s="663" t="s">
        <v>223</v>
      </c>
      <c r="C128" s="664"/>
      <c r="D128" s="665"/>
      <c r="E128" s="166" t="s">
        <v>214</v>
      </c>
      <c r="F128" s="167">
        <f>SUMIFS($L$11:$L$30,$C$11:$C$30,$B128,$T$11:$T$30,$E128)</f>
        <v>2.9237599999999996E-3</v>
      </c>
      <c r="G128" s="167">
        <f>SUMIFS($L$40:$L$59,$C$40:$C$59,$B128,$T$40:$T$59,$E128)+SUMIFS($L$68:$L$87,AY68:AY87,B128,$AG$68:$AG$87,E128)+SUMIFS($AE$11:$AE$31,$C$11:$C$31,B128,$T$11:$T$31,E128)</f>
        <v>0</v>
      </c>
      <c r="H128" s="167">
        <f t="shared" si="51"/>
        <v>-2.9237599999999996E-3</v>
      </c>
      <c r="I128" s="168" t="s">
        <v>215</v>
      </c>
      <c r="J128" s="200"/>
      <c r="R128" s="649"/>
    </row>
    <row r="129" spans="2:18" s="97" customFormat="1" ht="15.75" customHeight="1" x14ac:dyDescent="0.3">
      <c r="B129" s="666"/>
      <c r="C129" s="667"/>
      <c r="D129" s="668"/>
      <c r="E129" s="169" t="s">
        <v>216</v>
      </c>
      <c r="F129" s="167">
        <f>SUMIFS($L$11:$L$30,$C$11:$C$30,$B128,$T$11:$T$30,$E129)</f>
        <v>0</v>
      </c>
      <c r="G129" s="167">
        <f>SUMIFS($L$40:$L$59,$C$40:$C$59,$B128,$T$40:$T$59,$E129)+SUMIFS($L$68:$L$87,AY68:AY87,B128,$AG$68:$AG$87,E129)+SUMIFS($AE$11:$AE$31,$C$11:$C$31,B128,$T$11:$T$31,E129)</f>
        <v>0</v>
      </c>
      <c r="H129" s="167">
        <f t="shared" si="51"/>
        <v>0</v>
      </c>
      <c r="I129" s="170" t="str">
        <f>IF(F129=0,"N/A",IF(H129&lt;0,"No ▲","Yes ✓"))</f>
        <v>N/A</v>
      </c>
      <c r="J129" s="200">
        <f>IF(I129="No ▲",1,0)</f>
        <v>0</v>
      </c>
      <c r="R129" s="649"/>
    </row>
    <row r="130" spans="2:18" s="97" customFormat="1" ht="15.75" customHeight="1" x14ac:dyDescent="0.3">
      <c r="B130" s="663" t="s">
        <v>224</v>
      </c>
      <c r="C130" s="664"/>
      <c r="D130" s="665"/>
      <c r="E130" s="166" t="s">
        <v>214</v>
      </c>
      <c r="F130" s="167">
        <f>SUMIFS($L$11:$L$30,$C$11:$C$30,$B130,$T$11:$T$30,$E130)</f>
        <v>0</v>
      </c>
      <c r="G130" s="167">
        <f>SUMIFS($L$40:$L$59,$C$40:$C$59,$B130,$T$40:$T$59,$E130)+SUMIFS($L$68:$L$87,$C$68:$C$87,B130,$AG$68:$AG$87,E130)+SUMIFS($AE$11:$AE$31,$C$11:$C$31,B130,$T$11:$T$31,E130)</f>
        <v>0</v>
      </c>
      <c r="H130" s="167">
        <f t="shared" si="51"/>
        <v>0</v>
      </c>
      <c r="I130" s="168" t="s">
        <v>215</v>
      </c>
      <c r="J130" s="200"/>
      <c r="R130" s="649"/>
    </row>
    <row r="131" spans="2:18" s="97" customFormat="1" ht="15.75" customHeight="1" x14ac:dyDescent="0.3">
      <c r="B131" s="666"/>
      <c r="C131" s="667"/>
      <c r="D131" s="668"/>
      <c r="E131" s="169" t="s">
        <v>216</v>
      </c>
      <c r="F131" s="167">
        <f>SUMIFS($L$11:$L$30,$C$11:$C$30,$B130,$T$11:$T$30,$E131)</f>
        <v>0</v>
      </c>
      <c r="G131" s="167">
        <f>SUMIFS($L$40:$L$59,$C$40:$C$59,$B130,$T$40:$T$59,$E131)+SUMIFS($L$68:$L$87,$C$68:$C$87,B130,$AG$68:$AG$87,E131)+SUMIFS($AE$11:$AE$31,$C$11:$C$31,B130,$T$11:$T$31,E131)</f>
        <v>0</v>
      </c>
      <c r="H131" s="167">
        <f t="shared" si="51"/>
        <v>0</v>
      </c>
      <c r="I131" s="170" t="str">
        <f>IF(F131=0,"N/A",IF(H131&lt;0,"No ▲","Yes ✓"))</f>
        <v>N/A</v>
      </c>
      <c r="J131" s="200">
        <f>IF(I131="No ▲",1,0)</f>
        <v>0</v>
      </c>
      <c r="R131" s="649"/>
    </row>
    <row r="132" spans="2:18" s="97" customFormat="1" ht="15.75" customHeight="1" x14ac:dyDescent="0.3">
      <c r="B132" s="663" t="s">
        <v>225</v>
      </c>
      <c r="C132" s="664"/>
      <c r="D132" s="664"/>
      <c r="E132" s="166" t="s">
        <v>214</v>
      </c>
      <c r="F132" s="167">
        <f>SUMIFS($L$11:$L$30,$C$11:$C$30,$B132,$T$11:$T$30,$E132)</f>
        <v>0</v>
      </c>
      <c r="G132" s="167">
        <f>SUMIFS($L$40:$L$59,$C$40:$C$59,$B132,$T$40:$T$59,$E132)+SUMIFS($L$68:$L$87,$C$68:$C$87,B132,$AG$68:$AG$87,E132)+SUMIFS($AE$11:$AE$31,$C$11:$C$31,B132,$T$11:$T$31,E132)</f>
        <v>0</v>
      </c>
      <c r="H132" s="167">
        <f t="shared" si="51"/>
        <v>0</v>
      </c>
      <c r="I132" s="168" t="s">
        <v>215</v>
      </c>
      <c r="J132" s="200"/>
      <c r="R132" s="649"/>
    </row>
    <row r="133" spans="2:18" s="97" customFormat="1" ht="15.75" customHeight="1" x14ac:dyDescent="0.3">
      <c r="B133" s="669"/>
      <c r="C133" s="670"/>
      <c r="D133" s="670"/>
      <c r="E133" s="374" t="s">
        <v>216</v>
      </c>
      <c r="F133" s="375">
        <f>SUMIFS($L$11:$L$30,$C$11:$C$30,$B132,$T$11:$T$30,$E133)</f>
        <v>0</v>
      </c>
      <c r="G133" s="375">
        <f>SUMIFS($L$40:$L$59,$C$40:$C$59,$B132,$T$40:$T$59,$E133)+SUMIFS($L$68:$L$87,$C$68:$C$87,B132,$AG$68:$AG$87,E133)+SUMIFS($AE$11:$AE$31,$C$11:$C$31,B132,$T$11:$T$31,E133)</f>
        <v>0</v>
      </c>
      <c r="H133" s="375">
        <f t="shared" si="51"/>
        <v>0</v>
      </c>
      <c r="I133" s="376" t="str">
        <f>IF(F133=0,"N/A",IF(H133&lt;0,"No ▲","Yes ✓"))</f>
        <v>N/A</v>
      </c>
      <c r="J133" s="200">
        <f>IF(I133="No ▲",1,0)</f>
        <v>0</v>
      </c>
      <c r="R133" s="649"/>
    </row>
    <row r="134" spans="2:18" s="97" customFormat="1" ht="15.75" customHeight="1" x14ac:dyDescent="0.3">
      <c r="B134" s="663" t="s">
        <v>104</v>
      </c>
      <c r="C134" s="664"/>
      <c r="D134" s="665"/>
      <c r="E134" s="166" t="s">
        <v>214</v>
      </c>
      <c r="F134" s="167">
        <f>SUMIFS($L$11:$L$31,$C$11:$C$31,$B134,$T$11:$T$31,$E134)</f>
        <v>0</v>
      </c>
      <c r="G134" s="167">
        <f>SUMIFS($L$40:$L$60,$C$40:$C$60,$B134,$T$40:$T$60,$E134)+SUMIFS($L$68:$L$88,$C$68:$C$88,B134,$AG$68:$AG$88,E134)+SUMIFS($AE$11:$AE$31,$C$11:$C$31,B134,$T$11:$T$31,E134)</f>
        <v>0</v>
      </c>
      <c r="H134" s="167">
        <f t="shared" si="51"/>
        <v>0</v>
      </c>
      <c r="I134" s="168" t="s">
        <v>215</v>
      </c>
      <c r="J134" s="200"/>
      <c r="R134" s="649"/>
    </row>
    <row r="135" spans="2:18" s="97" customFormat="1" ht="23.25" customHeight="1" x14ac:dyDescent="0.3">
      <c r="B135" s="671"/>
      <c r="C135" s="672"/>
      <c r="D135" s="673"/>
      <c r="E135" s="244" t="s">
        <v>216</v>
      </c>
      <c r="F135" s="245">
        <f>SUMIFS($L$11:$L$31,$C$11:$C$31,$B134,$T$11:$T$31,$E135)</f>
        <v>0</v>
      </c>
      <c r="G135" s="245">
        <f>SUMIFS($L$40:$L$60,$C$40:$C$60,$B134,$T$40:$T$60,$E135)+SUMIFS($L$68:$L$88,$C$68:$C$88,B134,$AG$68:$AG$88,E135)+SUMIFS($AE$11:$AE$31,$C$11:$C$31,B134,$T$11:$T$31,E135)</f>
        <v>0</v>
      </c>
      <c r="H135" s="245">
        <f t="shared" si="51"/>
        <v>0</v>
      </c>
      <c r="I135" s="494" t="str">
        <f>IF(F135=0,"N/A",IF(H135&lt;0,"No ▲","Yes ✓"))</f>
        <v>N/A</v>
      </c>
      <c r="J135" s="200">
        <f>IF(I135="No ▲",1,0)</f>
        <v>0</v>
      </c>
      <c r="R135" s="649"/>
    </row>
    <row r="136" spans="2:18" s="97" customFormat="1" ht="15.75" customHeight="1" x14ac:dyDescent="0.3">
      <c r="J136" s="200"/>
      <c r="M136" s="98"/>
      <c r="R136" s="649"/>
    </row>
    <row r="137" spans="2:18" s="97" customFormat="1" ht="36" customHeight="1" x14ac:dyDescent="0.3">
      <c r="B137" s="674" t="s">
        <v>208</v>
      </c>
      <c r="C137" s="675"/>
      <c r="D137" s="675"/>
      <c r="E137" s="676"/>
      <c r="F137" s="171" t="s">
        <v>209</v>
      </c>
      <c r="G137" s="171" t="s">
        <v>210</v>
      </c>
      <c r="H137" s="171" t="s">
        <v>211</v>
      </c>
      <c r="I137" s="172" t="s">
        <v>212</v>
      </c>
      <c r="J137" s="200"/>
      <c r="M137" s="98"/>
      <c r="R137" s="649"/>
    </row>
    <row r="138" spans="2:18" s="97" customFormat="1" ht="30.75" customHeight="1" x14ac:dyDescent="0.3">
      <c r="B138" s="646" t="s">
        <v>226</v>
      </c>
      <c r="C138" s="647"/>
      <c r="D138" s="647"/>
      <c r="E138" s="648"/>
      <c r="F138" s="167">
        <f>SUMIFS($L$11:$L$31,$T$11:$T$31,"Medium")</f>
        <v>0</v>
      </c>
      <c r="G138" s="199">
        <f>IF(L61+L89+P1=0,0,SUMIFS($L$40:$L$60,$T$40:$T$60,"Medium")+SUMIFS($L$68:$L$87,$AG$68:$AG$87,"Medium")+SUMIFS($AE$11:$AE$31,$T$11:$T$31,"Medium"))</f>
        <v>0</v>
      </c>
      <c r="H138" s="167">
        <f>IFERROR(G138-F138,"")</f>
        <v>0</v>
      </c>
      <c r="I138" s="343" t="str">
        <f>IF(G138="","",IF(H138&gt;=0,"Yes ✓","No ▲"))</f>
        <v>Yes ✓</v>
      </c>
      <c r="J138" s="200">
        <f>IF(I138="No ▲",1,0)</f>
        <v>0</v>
      </c>
      <c r="R138" s="649" t="s">
        <v>66</v>
      </c>
    </row>
    <row r="139" spans="2:18" s="97" customFormat="1" ht="30.75" customHeight="1" x14ac:dyDescent="0.3">
      <c r="B139" s="646" t="s">
        <v>227</v>
      </c>
      <c r="C139" s="647"/>
      <c r="D139" s="647"/>
      <c r="E139" s="648"/>
      <c r="F139" s="167">
        <f>SUMIFS($L$11:$L$31,$T$11:$T$31,"Low")</f>
        <v>2.9237599999999996E-3</v>
      </c>
      <c r="G139" s="199">
        <f>IF(L61+L89+P1=0,0,SUMIFS($L$40:$L$60,$T$40:$T$60,"Low")+SUMIFS($L$68:$L$88,$AG$68:$AG$88,"Low")+SUMIFS($AE$11:$AE$31,$T$11:$T$31,"Low"))</f>
        <v>0</v>
      </c>
      <c r="H139" s="167">
        <f>IFERROR(G139-F139,"")</f>
        <v>-2.9237599999999996E-3</v>
      </c>
      <c r="I139" s="343" t="str">
        <f>IF($I$142&gt;=0,"Yes ✓","No ▲")</f>
        <v>No ▲</v>
      </c>
      <c r="J139" s="200">
        <f>IF(I139="No ▲",1,0)</f>
        <v>1</v>
      </c>
      <c r="R139" s="649"/>
    </row>
    <row r="140" spans="2:18" s="97" customFormat="1" ht="41.25" customHeight="1" x14ac:dyDescent="0.3">
      <c r="B140" s="650" t="s">
        <v>228</v>
      </c>
      <c r="C140" s="651"/>
      <c r="D140" s="651"/>
      <c r="E140" s="652"/>
      <c r="F140" s="653">
        <f>IFERROR(H138+H139,"")</f>
        <v>-2.9237599999999996E-3</v>
      </c>
      <c r="G140" s="654"/>
      <c r="H140" s="655"/>
      <c r="I140" s="344" t="str">
        <f>IF(F140="","",IF(F140&gt;=0,"Yes ✓","No ▲"))</f>
        <v>No ▲</v>
      </c>
      <c r="J140" s="200">
        <f>IF(I140="No ▲",1,0)</f>
        <v>1</v>
      </c>
      <c r="R140" s="649"/>
    </row>
    <row r="141" spans="2:18" s="97" customFormat="1" x14ac:dyDescent="0.3">
      <c r="R141" s="649"/>
    </row>
    <row r="142" spans="2:18" s="97" customFormat="1" x14ac:dyDescent="0.3">
      <c r="I142" s="432">
        <f>IF($H$138&gt;0,($H$139+$H$138),$H$139)</f>
        <v>-2.9237599999999996E-3</v>
      </c>
      <c r="R142" s="649"/>
    </row>
    <row r="143" spans="2:18" s="97" customFormat="1" x14ac:dyDescent="0.3">
      <c r="R143" s="649"/>
    </row>
    <row r="144" spans="2:18" s="97" customFormat="1" x14ac:dyDescent="0.3">
      <c r="R144" s="649"/>
    </row>
    <row r="145" spans="18:18" s="97" customFormat="1" x14ac:dyDescent="0.3">
      <c r="R145" s="649"/>
    </row>
    <row r="146" spans="18:18" s="97" customFormat="1" x14ac:dyDescent="0.3">
      <c r="R146" s="649"/>
    </row>
    <row r="147" spans="18:18" s="97" customFormat="1" x14ac:dyDescent="0.3">
      <c r="R147" s="649"/>
    </row>
    <row r="148" spans="18:18" s="97" customFormat="1" x14ac:dyDescent="0.3">
      <c r="R148" s="649"/>
    </row>
    <row r="149" spans="18:18" s="97" customFormat="1" x14ac:dyDescent="0.3">
      <c r="R149" s="649"/>
    </row>
    <row r="150" spans="18:18" s="97" customFormat="1" x14ac:dyDescent="0.3">
      <c r="R150" s="649"/>
    </row>
    <row r="151" spans="18:18" s="97" customFormat="1" x14ac:dyDescent="0.3">
      <c r="R151" s="649"/>
    </row>
    <row r="152" spans="18:18" s="97" customFormat="1" x14ac:dyDescent="0.3">
      <c r="R152" s="649"/>
    </row>
    <row r="153" spans="18:18" s="97" customFormat="1" x14ac:dyDescent="0.3">
      <c r="R153" s="649"/>
    </row>
    <row r="154" spans="18:18" s="97" customFormat="1" x14ac:dyDescent="0.3">
      <c r="R154" s="649"/>
    </row>
    <row r="155" spans="18:18" s="97" customFormat="1" x14ac:dyDescent="0.3">
      <c r="R155" s="649"/>
    </row>
    <row r="156" spans="18:18" s="97" customFormat="1" x14ac:dyDescent="0.3">
      <c r="R156" s="649"/>
    </row>
    <row r="157" spans="18:18" s="97" customFormat="1" x14ac:dyDescent="0.3">
      <c r="R157" s="649"/>
    </row>
    <row r="158" spans="18:18" s="97" customFormat="1" x14ac:dyDescent="0.3">
      <c r="R158" s="649"/>
    </row>
    <row r="159" spans="18:18" s="97" customFormat="1" x14ac:dyDescent="0.3">
      <c r="R159" s="649"/>
    </row>
    <row r="160" spans="18:18" s="97" customFormat="1" x14ac:dyDescent="0.3">
      <c r="R160" s="649"/>
    </row>
    <row r="161" spans="18:18" s="97" customFormat="1" x14ac:dyDescent="0.3">
      <c r="R161" s="649"/>
    </row>
    <row r="162" spans="18:18" s="97" customFormat="1" x14ac:dyDescent="0.3">
      <c r="R162" s="649"/>
    </row>
    <row r="163" spans="18:18" s="97" customFormat="1" x14ac:dyDescent="0.3">
      <c r="R163" s="649"/>
    </row>
    <row r="164" spans="18:18" s="97" customFormat="1" x14ac:dyDescent="0.3">
      <c r="R164" s="649"/>
    </row>
    <row r="165" spans="18:18" s="97" customFormat="1" x14ac:dyDescent="0.3">
      <c r="R165" s="649"/>
    </row>
    <row r="166" spans="18:18" s="97" customFormat="1" x14ac:dyDescent="0.3">
      <c r="R166" s="649"/>
    </row>
    <row r="167" spans="18:18" s="97" customFormat="1" x14ac:dyDescent="0.3">
      <c r="R167" s="649"/>
    </row>
    <row r="168" spans="18:18" s="97" customFormat="1" x14ac:dyDescent="0.3">
      <c r="R168" s="649"/>
    </row>
    <row r="169" spans="18:18" s="97" customFormat="1" x14ac:dyDescent="0.3">
      <c r="R169" s="649"/>
    </row>
  </sheetData>
  <sheetProtection algorithmName="SHA-512" hashValue="xcV4Km4BNir/CsRC8Beu6qJyRWmEFPb4S0E5nMLE44LOzSziD+Gyw62Y2SX3GEg/gJHuCJEpvKZp+tdtX4SeKw==" saltValue="W1rspN0rKqDpM/3olxq8MQ==" spinCount="100000" sheet="1" formatRows="0"/>
  <mergeCells count="332">
    <mergeCell ref="B9:B10"/>
    <mergeCell ref="C9:E9"/>
    <mergeCell ref="F9:H10"/>
    <mergeCell ref="I9:K9"/>
    <mergeCell ref="L9:N9"/>
    <mergeCell ref="O9:P9"/>
    <mergeCell ref="D11:E11"/>
    <mergeCell ref="F11:H11"/>
    <mergeCell ref="D15:E15"/>
    <mergeCell ref="F15:H15"/>
    <mergeCell ref="F12:H12"/>
    <mergeCell ref="T9:V9"/>
    <mergeCell ref="W9:X9"/>
    <mergeCell ref="Y9:AA9"/>
    <mergeCell ref="AB9:AD9"/>
    <mergeCell ref="AE9:AG9"/>
    <mergeCell ref="AH9:AH10"/>
    <mergeCell ref="AI9:AI10"/>
    <mergeCell ref="D10:E10"/>
    <mergeCell ref="T10:U10"/>
    <mergeCell ref="R1:R32"/>
    <mergeCell ref="C2:D2"/>
    <mergeCell ref="F2:H6"/>
    <mergeCell ref="J2:M5"/>
    <mergeCell ref="C3:D3"/>
    <mergeCell ref="D19:E19"/>
    <mergeCell ref="F19:H19"/>
    <mergeCell ref="D23:E23"/>
    <mergeCell ref="F23:H23"/>
    <mergeCell ref="D27:E27"/>
    <mergeCell ref="F27:H27"/>
    <mergeCell ref="D31:E31"/>
    <mergeCell ref="F31:H31"/>
    <mergeCell ref="T11:U11"/>
    <mergeCell ref="D12:E12"/>
    <mergeCell ref="T12:U12"/>
    <mergeCell ref="D13:E13"/>
    <mergeCell ref="F13:H13"/>
    <mergeCell ref="T13:U13"/>
    <mergeCell ref="D14:E14"/>
    <mergeCell ref="F14:H14"/>
    <mergeCell ref="T14:U14"/>
    <mergeCell ref="T15:U15"/>
    <mergeCell ref="D16:E16"/>
    <mergeCell ref="F16:H16"/>
    <mergeCell ref="T16:U16"/>
    <mergeCell ref="D17:E17"/>
    <mergeCell ref="F17:H17"/>
    <mergeCell ref="T17:U17"/>
    <mergeCell ref="D18:E18"/>
    <mergeCell ref="F18:H18"/>
    <mergeCell ref="T18:U18"/>
    <mergeCell ref="T19:U19"/>
    <mergeCell ref="D20:E20"/>
    <mergeCell ref="F20:H20"/>
    <mergeCell ref="T20:U20"/>
    <mergeCell ref="D21:E21"/>
    <mergeCell ref="F21:H21"/>
    <mergeCell ref="T21:U21"/>
    <mergeCell ref="D22:E22"/>
    <mergeCell ref="F22:H22"/>
    <mergeCell ref="T22:U22"/>
    <mergeCell ref="T23:U23"/>
    <mergeCell ref="D24:E24"/>
    <mergeCell ref="F24:H24"/>
    <mergeCell ref="T24:U24"/>
    <mergeCell ref="D25:E25"/>
    <mergeCell ref="F25:H25"/>
    <mergeCell ref="T25:U25"/>
    <mergeCell ref="D26:E26"/>
    <mergeCell ref="F26:H26"/>
    <mergeCell ref="T26:U26"/>
    <mergeCell ref="T27:U27"/>
    <mergeCell ref="D28:E28"/>
    <mergeCell ref="F28:H28"/>
    <mergeCell ref="T28:U28"/>
    <mergeCell ref="D29:E29"/>
    <mergeCell ref="F29:H29"/>
    <mergeCell ref="T29:U29"/>
    <mergeCell ref="D30:E30"/>
    <mergeCell ref="F30:H30"/>
    <mergeCell ref="T30:U30"/>
    <mergeCell ref="T31:U31"/>
    <mergeCell ref="I33:N33"/>
    <mergeCell ref="I34:N34"/>
    <mergeCell ref="B38:B39"/>
    <mergeCell ref="C38:D38"/>
    <mergeCell ref="E38:G38"/>
    <mergeCell ref="H38:H39"/>
    <mergeCell ref="I38:K39"/>
    <mergeCell ref="L38:N39"/>
    <mergeCell ref="O38:P38"/>
    <mergeCell ref="F43:G43"/>
    <mergeCell ref="I43:K43"/>
    <mergeCell ref="L43:N43"/>
    <mergeCell ref="F41:G41"/>
    <mergeCell ref="I41:K41"/>
    <mergeCell ref="L41:N41"/>
    <mergeCell ref="T41:U41"/>
    <mergeCell ref="F42:G42"/>
    <mergeCell ref="I42:K42"/>
    <mergeCell ref="L42:N42"/>
    <mergeCell ref="T42:U42"/>
    <mergeCell ref="I35:N35"/>
    <mergeCell ref="R35:R64"/>
    <mergeCell ref="F46:G46"/>
    <mergeCell ref="I46:K46"/>
    <mergeCell ref="L46:N46"/>
    <mergeCell ref="F49:G49"/>
    <mergeCell ref="I49:K49"/>
    <mergeCell ref="L49:N49"/>
    <mergeCell ref="F52:G52"/>
    <mergeCell ref="I52:K52"/>
    <mergeCell ref="L52:N52"/>
    <mergeCell ref="F55:G55"/>
    <mergeCell ref="I55:K55"/>
    <mergeCell ref="L55:N55"/>
    <mergeCell ref="W38:X38"/>
    <mergeCell ref="Y38:AA38"/>
    <mergeCell ref="AB38:AD38"/>
    <mergeCell ref="AE38:AF38"/>
    <mergeCell ref="AG38:AH38"/>
    <mergeCell ref="F39:G39"/>
    <mergeCell ref="T39:U39"/>
    <mergeCell ref="F40:G40"/>
    <mergeCell ref="I40:K40"/>
    <mergeCell ref="L40:N40"/>
    <mergeCell ref="T40:U40"/>
    <mergeCell ref="T38:V38"/>
    <mergeCell ref="T43:U43"/>
    <mergeCell ref="F44:G44"/>
    <mergeCell ref="I44:K44"/>
    <mergeCell ref="L44:N44"/>
    <mergeCell ref="T44:U44"/>
    <mergeCell ref="F45:G45"/>
    <mergeCell ref="I45:K45"/>
    <mergeCell ref="L45:N45"/>
    <mergeCell ref="T45:U45"/>
    <mergeCell ref="T46:U46"/>
    <mergeCell ref="F47:G47"/>
    <mergeCell ref="I47:K47"/>
    <mergeCell ref="L47:N47"/>
    <mergeCell ref="T47:U47"/>
    <mergeCell ref="F48:G48"/>
    <mergeCell ref="I48:K48"/>
    <mergeCell ref="L48:N48"/>
    <mergeCell ref="T48:U48"/>
    <mergeCell ref="T49:U49"/>
    <mergeCell ref="F50:G50"/>
    <mergeCell ref="I50:K50"/>
    <mergeCell ref="L50:N50"/>
    <mergeCell ref="T50:U50"/>
    <mergeCell ref="F51:G51"/>
    <mergeCell ref="I51:K51"/>
    <mergeCell ref="L51:N51"/>
    <mergeCell ref="T51:U51"/>
    <mergeCell ref="T52:U52"/>
    <mergeCell ref="F53:G53"/>
    <mergeCell ref="I53:K53"/>
    <mergeCell ref="L53:N53"/>
    <mergeCell ref="T53:U53"/>
    <mergeCell ref="F54:G54"/>
    <mergeCell ref="I54:K54"/>
    <mergeCell ref="L54:N54"/>
    <mergeCell ref="T54:U54"/>
    <mergeCell ref="T55:U55"/>
    <mergeCell ref="F56:G56"/>
    <mergeCell ref="I56:K56"/>
    <mergeCell ref="L56:N56"/>
    <mergeCell ref="T56:U56"/>
    <mergeCell ref="F57:G57"/>
    <mergeCell ref="I57:K57"/>
    <mergeCell ref="L57:N57"/>
    <mergeCell ref="T57:U57"/>
    <mergeCell ref="F58:G58"/>
    <mergeCell ref="I58:K58"/>
    <mergeCell ref="L58:N58"/>
    <mergeCell ref="T58:U58"/>
    <mergeCell ref="F59:G59"/>
    <mergeCell ref="I59:K59"/>
    <mergeCell ref="L59:N59"/>
    <mergeCell ref="T59:U59"/>
    <mergeCell ref="F60:G60"/>
    <mergeCell ref="I60:K60"/>
    <mergeCell ref="L60:N60"/>
    <mergeCell ref="T60:U60"/>
    <mergeCell ref="I61:K61"/>
    <mergeCell ref="L61:N61"/>
    <mergeCell ref="I62:N62"/>
    <mergeCell ref="R65:R109"/>
    <mergeCell ref="B66:B67"/>
    <mergeCell ref="C66:D66"/>
    <mergeCell ref="E66:G66"/>
    <mergeCell ref="H66:H67"/>
    <mergeCell ref="I66:I67"/>
    <mergeCell ref="J66:K67"/>
    <mergeCell ref="L66:L67"/>
    <mergeCell ref="M66:N67"/>
    <mergeCell ref="O66:P66"/>
    <mergeCell ref="F69:G69"/>
    <mergeCell ref="J69:K69"/>
    <mergeCell ref="M69:N69"/>
    <mergeCell ref="F70:G70"/>
    <mergeCell ref="J70:K70"/>
    <mergeCell ref="M70:N70"/>
    <mergeCell ref="F71:G71"/>
    <mergeCell ref="J71:K71"/>
    <mergeCell ref="M71:N71"/>
    <mergeCell ref="F72:G72"/>
    <mergeCell ref="J72:K72"/>
    <mergeCell ref="T66:AD66"/>
    <mergeCell ref="AE66:AE67"/>
    <mergeCell ref="AF66:AP66"/>
    <mergeCell ref="AQ66:AQ67"/>
    <mergeCell ref="AR66:AX66"/>
    <mergeCell ref="F67:G67"/>
    <mergeCell ref="F68:G68"/>
    <mergeCell ref="J68:K68"/>
    <mergeCell ref="M68:N68"/>
    <mergeCell ref="M72:N72"/>
    <mergeCell ref="F73:G73"/>
    <mergeCell ref="J73:K73"/>
    <mergeCell ref="M73:N73"/>
    <mergeCell ref="F74:G74"/>
    <mergeCell ref="J74:K74"/>
    <mergeCell ref="M74:N74"/>
    <mergeCell ref="F75:G75"/>
    <mergeCell ref="J75:K75"/>
    <mergeCell ref="M75:N75"/>
    <mergeCell ref="F76:G76"/>
    <mergeCell ref="J76:K76"/>
    <mergeCell ref="M76:N76"/>
    <mergeCell ref="F77:G77"/>
    <mergeCell ref="J77:K77"/>
    <mergeCell ref="M77:N77"/>
    <mergeCell ref="F78:G78"/>
    <mergeCell ref="J78:K78"/>
    <mergeCell ref="M78:N78"/>
    <mergeCell ref="F79:G79"/>
    <mergeCell ref="J79:K79"/>
    <mergeCell ref="M79:N79"/>
    <mergeCell ref="F80:G80"/>
    <mergeCell ref="J80:K80"/>
    <mergeCell ref="M80:N80"/>
    <mergeCell ref="F81:G81"/>
    <mergeCell ref="J81:K81"/>
    <mergeCell ref="M81:N81"/>
    <mergeCell ref="F82:G82"/>
    <mergeCell ref="J82:K82"/>
    <mergeCell ref="M82:N82"/>
    <mergeCell ref="F83:G83"/>
    <mergeCell ref="J83:K83"/>
    <mergeCell ref="M83:N83"/>
    <mergeCell ref="F84:G84"/>
    <mergeCell ref="J84:K84"/>
    <mergeCell ref="M84:N84"/>
    <mergeCell ref="F85:G85"/>
    <mergeCell ref="J85:K85"/>
    <mergeCell ref="M85:N85"/>
    <mergeCell ref="F86:G86"/>
    <mergeCell ref="J86:K86"/>
    <mergeCell ref="M86:N86"/>
    <mergeCell ref="F87:G87"/>
    <mergeCell ref="J87:K87"/>
    <mergeCell ref="M87:N87"/>
    <mergeCell ref="F88:G88"/>
    <mergeCell ref="J88:K88"/>
    <mergeCell ref="M88:N88"/>
    <mergeCell ref="M89:N89"/>
    <mergeCell ref="B93:C94"/>
    <mergeCell ref="D93:D94"/>
    <mergeCell ref="E93:F94"/>
    <mergeCell ref="G93:H94"/>
    <mergeCell ref="I93:P93"/>
    <mergeCell ref="I94:K94"/>
    <mergeCell ref="L94:N94"/>
    <mergeCell ref="O94:P94"/>
    <mergeCell ref="B95:C95"/>
    <mergeCell ref="E95:F95"/>
    <mergeCell ref="G95:H95"/>
    <mergeCell ref="I95:K95"/>
    <mergeCell ref="L95:N95"/>
    <mergeCell ref="O95:P95"/>
    <mergeCell ref="B96:C96"/>
    <mergeCell ref="E96:F96"/>
    <mergeCell ref="G96:H96"/>
    <mergeCell ref="I96:K96"/>
    <mergeCell ref="L96:N96"/>
    <mergeCell ref="O96:P96"/>
    <mergeCell ref="B97:C97"/>
    <mergeCell ref="E97:F97"/>
    <mergeCell ref="G97:H97"/>
    <mergeCell ref="I97:K97"/>
    <mergeCell ref="L97:N97"/>
    <mergeCell ref="O97:P97"/>
    <mergeCell ref="B98:C98"/>
    <mergeCell ref="E98:F98"/>
    <mergeCell ref="G98:H98"/>
    <mergeCell ref="I98:K98"/>
    <mergeCell ref="L98:N98"/>
    <mergeCell ref="O98:P98"/>
    <mergeCell ref="B99:C99"/>
    <mergeCell ref="E99:F99"/>
    <mergeCell ref="G99:H99"/>
    <mergeCell ref="I99:K99"/>
    <mergeCell ref="L99:N99"/>
    <mergeCell ref="O99:P99"/>
    <mergeCell ref="E100:G100"/>
    <mergeCell ref="A102:Q104"/>
    <mergeCell ref="B108:D108"/>
    <mergeCell ref="E108:I108"/>
    <mergeCell ref="B138:E138"/>
    <mergeCell ref="R138:R169"/>
    <mergeCell ref="B139:E139"/>
    <mergeCell ref="B140:E140"/>
    <mergeCell ref="F140:H140"/>
    <mergeCell ref="B109:D109"/>
    <mergeCell ref="E109:I109"/>
    <mergeCell ref="R110:R137"/>
    <mergeCell ref="B113:D113"/>
    <mergeCell ref="B114:D115"/>
    <mergeCell ref="B116:D117"/>
    <mergeCell ref="B118:D119"/>
    <mergeCell ref="B120:D121"/>
    <mergeCell ref="B122:D123"/>
    <mergeCell ref="B124:D125"/>
    <mergeCell ref="B126:D127"/>
    <mergeCell ref="B128:D129"/>
    <mergeCell ref="B130:D131"/>
    <mergeCell ref="B132:D133"/>
    <mergeCell ref="B134:D135"/>
    <mergeCell ref="B137:E137"/>
  </mergeCells>
  <phoneticPr fontId="19" type="noConversion"/>
  <conditionalFormatting sqref="E68:E88">
    <cfRule type="cellIs" dxfId="170" priority="14" operator="equal">
      <formula>"Enhancement not possible"</formula>
    </cfRule>
  </conditionalFormatting>
  <conditionalFormatting sqref="E108:E109">
    <cfRule type="containsText" dxfId="169" priority="41" operator="containsText" text="Trading Rules Satisfied">
      <formula>NOT(ISERROR(SEARCH("Trading Rules Satisfied",E108)))</formula>
    </cfRule>
    <cfRule type="containsText" dxfId="168" priority="42" operator="containsText" text="Error - Trading Rules Not Satisfied">
      <formula>NOT(ISERROR(SEARCH("Error - Trading Rules Not Satisfied",E108)))</formula>
    </cfRule>
  </conditionalFormatting>
  <conditionalFormatting sqref="E95:F98">
    <cfRule type="cellIs" dxfId="167" priority="2" operator="greaterThan">
      <formula>$D95</formula>
    </cfRule>
  </conditionalFormatting>
  <conditionalFormatting sqref="E100:G100">
    <cfRule type="containsText" dxfId="166" priority="7" operator="containsText" text="Error">
      <formula>NOT(ISERROR(SEARCH("Error",E100)))</formula>
    </cfRule>
  </conditionalFormatting>
  <conditionalFormatting sqref="F40:F59">
    <cfRule type="containsBlanks" dxfId="165" priority="16" stopIfTrue="1">
      <formula>LEN(TRIM(F40))=0</formula>
    </cfRule>
    <cfRule type="expression" dxfId="164" priority="17">
      <formula>ISNUMBER(SEARCH(F40,E40,1))</formula>
    </cfRule>
  </conditionalFormatting>
  <conditionalFormatting sqref="F68:G87">
    <cfRule type="containsText" dxfId="163" priority="3" operator="containsText" text="not possible">
      <formula>NOT(ISERROR(SEARCH("not possible",F68)))</formula>
    </cfRule>
    <cfRule type="expression" dxfId="162" priority="13">
      <formula>$D68=""</formula>
    </cfRule>
  </conditionalFormatting>
  <conditionalFormatting sqref="H88">
    <cfRule type="expression" dxfId="161" priority="15">
      <formula>$D88=""</formula>
    </cfRule>
  </conditionalFormatting>
  <conditionalFormatting sqref="I89">
    <cfRule type="expression" dxfId="160" priority="31">
      <formula>"p18=""Avoid"""</formula>
    </cfRule>
    <cfRule type="cellIs" dxfId="159" priority="30" operator="equal">
      <formula>"Any loss Unacceptable"</formula>
    </cfRule>
  </conditionalFormatting>
  <conditionalFormatting sqref="I114:I135">
    <cfRule type="containsText" dxfId="158" priority="5" operator="containsText" text="Yes">
      <formula>NOT(ISERROR(SEARCH("Yes",I114)))</formula>
    </cfRule>
    <cfRule type="containsText" dxfId="157" priority="6" operator="containsText" text="No">
      <formula>NOT(ISERROR(SEARCH("No",I114)))</formula>
    </cfRule>
  </conditionalFormatting>
  <conditionalFormatting sqref="I138:I140">
    <cfRule type="containsText" dxfId="156" priority="39" operator="containsText" text="Yes">
      <formula>NOT(ISERROR(SEARCH("Yes",I138)))</formula>
    </cfRule>
    <cfRule type="containsText" dxfId="155" priority="40" operator="containsText" text="No">
      <formula>NOT(ISERROR(SEARCH("No",I138)))</formula>
    </cfRule>
  </conditionalFormatting>
  <conditionalFormatting sqref="I33:N35">
    <cfRule type="containsText" dxfId="154" priority="22" operator="containsText" text="acceptable">
      <formula>NOT(ISERROR(SEARCH("acceptable",I33)))</formula>
    </cfRule>
    <cfRule type="containsText" dxfId="153" priority="21" operator="containsText" text="error">
      <formula>NOT(ISERROR(SEARCH("error",I33)))</formula>
    </cfRule>
  </conditionalFormatting>
  <conditionalFormatting sqref="I62:N62">
    <cfRule type="containsText" dxfId="152" priority="20" operator="containsText" text="acceptable">
      <formula>NOT(ISERROR(SEARCH("acceptable",I62)))</formula>
    </cfRule>
    <cfRule type="containsText" dxfId="151" priority="19" operator="containsText" text="error">
      <formula>NOT(ISERROR(SEARCH("error",I62)))</formula>
    </cfRule>
  </conditionalFormatting>
  <conditionalFormatting sqref="J2 O6:P6">
    <cfRule type="containsText" dxfId="150" priority="18" operator="containsText" text="Errors Present On Sheet">
      <formula>NOT(ISERROR(SEARCH("Errors Present On Sheet",J2)))</formula>
    </cfRule>
  </conditionalFormatting>
  <conditionalFormatting sqref="J2">
    <cfRule type="containsText" dxfId="149" priority="8" operator="containsText" text="Technical">
      <formula>NOT(ISERROR(SEARCH("Technical",J2)))</formula>
    </cfRule>
  </conditionalFormatting>
  <conditionalFormatting sqref="K11:K30">
    <cfRule type="expression" dxfId="148" priority="23">
      <formula>$AI11="Enhancement not possible"</formula>
    </cfRule>
  </conditionalFormatting>
  <conditionalFormatting sqref="L11:L30 L40:N59 L68:L88">
    <cfRule type="containsText" dxfId="147" priority="9" operator="containsText" text="▲">
      <formula>NOT(ISERROR(SEARCH("▲",L11)))</formula>
    </cfRule>
  </conditionalFormatting>
  <conditionalFormatting sqref="L11:L30 L40:N59">
    <cfRule type="containsText" dxfId="146" priority="10" operator="containsText" text="value">
      <formula>NOT(ISERROR(SEARCH("value",L11)))</formula>
    </cfRule>
  </conditionalFormatting>
  <conditionalFormatting sqref="L89">
    <cfRule type="cellIs" dxfId="145" priority="28" operator="equal">
      <formula>"Any loss Unacceptable"</formula>
    </cfRule>
    <cfRule type="expression" dxfId="144" priority="29">
      <formula>"p18=""Avoid"""</formula>
    </cfRule>
  </conditionalFormatting>
  <conditionalFormatting sqref="L11:M30">
    <cfRule type="cellIs" dxfId="143" priority="47" operator="equal">
      <formula>"Any loss Unacceptable"</formula>
    </cfRule>
    <cfRule type="expression" dxfId="142" priority="48">
      <formula>"p18=""Avoid"""</formula>
    </cfRule>
  </conditionalFormatting>
  <conditionalFormatting sqref="L31:M31">
    <cfRule type="cellIs" dxfId="141" priority="33" operator="equal">
      <formula>"Alternative Compensation"</formula>
    </cfRule>
    <cfRule type="cellIs" dxfId="140" priority="34" operator="equal">
      <formula>"Unacceptable Loss"</formula>
    </cfRule>
    <cfRule type="cellIs" dxfId="139" priority="35" operator="equal">
      <formula>"Compensation Agreed"</formula>
    </cfRule>
  </conditionalFormatting>
  <conditionalFormatting sqref="L40:M60">
    <cfRule type="cellIs" dxfId="138" priority="36" operator="equal">
      <formula>"Alternative Compensation"</formula>
    </cfRule>
    <cfRule type="cellIs" dxfId="137" priority="37" operator="equal">
      <formula>"Unacceptable Loss"</formula>
    </cfRule>
    <cfRule type="cellIs" dxfId="136" priority="38" operator="equal">
      <formula>"Compensation Agreed"</formula>
    </cfRule>
  </conditionalFormatting>
  <conditionalFormatting sqref="L68:M88">
    <cfRule type="cellIs" dxfId="135" priority="24" operator="equal">
      <formula>"Alternative Compensation"</formula>
    </cfRule>
    <cfRule type="cellIs" dxfId="134" priority="25" operator="equal">
      <formula>"Unacceptable Loss"</formula>
    </cfRule>
    <cfRule type="cellIs" dxfId="133" priority="26" operator="equal">
      <formula>"Compensation Agreed"</formula>
    </cfRule>
  </conditionalFormatting>
  <conditionalFormatting sqref="L95:N98">
    <cfRule type="containsText" dxfId="132" priority="1" operator="containsText" text="Error">
      <formula>NOT(ISERROR(SEARCH("Error",L95)))</formula>
    </cfRule>
  </conditionalFormatting>
  <conditionalFormatting sqref="M11:N30">
    <cfRule type="containsText" dxfId="131" priority="12" operator="containsText" text="error">
      <formula>NOT(ISERROR(SEARCH("error",M11)))</formula>
    </cfRule>
  </conditionalFormatting>
  <conditionalFormatting sqref="N11:N30">
    <cfRule type="containsText" dxfId="130" priority="11" operator="containsText" text="▲">
      <formula>NOT(ISERROR(SEARCH("▲",N11)))</formula>
    </cfRule>
    <cfRule type="cellIs" dxfId="129" priority="43" operator="equal">
      <formula>"Alternative Compensation"</formula>
    </cfRule>
    <cfRule type="cellIs" dxfId="128" priority="44" operator="equal">
      <formula>"Unacceptable Loss"</formula>
    </cfRule>
    <cfRule type="cellIs" dxfId="127" priority="45" operator="equal">
      <formula>"Compensation Agreed"</formula>
    </cfRule>
    <cfRule type="cellIs" dxfId="126" priority="46" operator="equal">
      <formula>"Unacceptable Loss"</formula>
    </cfRule>
  </conditionalFormatting>
  <conditionalFormatting sqref="P1:P5 J68:K87 M68:N87">
    <cfRule type="containsText" dxfId="125" priority="4" operator="containsText" text="Error ▲">
      <formula>NOT(ISERROR(SEARCH("Error ▲",P1)))</formula>
    </cfRule>
  </conditionalFormatting>
  <conditionalFormatting sqref="X11:X31">
    <cfRule type="cellIs" dxfId="124" priority="50" operator="equal">
      <formula>"Not Possible"</formula>
    </cfRule>
  </conditionalFormatting>
  <conditionalFormatting sqref="X40:X60">
    <cfRule type="cellIs" dxfId="123" priority="32" operator="equal">
      <formula>"Not Possible"</formula>
    </cfRule>
  </conditionalFormatting>
  <conditionalFormatting sqref="AG11:AG31">
    <cfRule type="cellIs" dxfId="122" priority="49" operator="equal">
      <formula>"Unacceptable Loss"</formula>
    </cfRule>
  </conditionalFormatting>
  <conditionalFormatting sqref="AJ68:AJ88">
    <cfRule type="cellIs" dxfId="121" priority="27" operator="equal">
      <formula>"Not Possible"</formula>
    </cfRule>
  </conditionalFormatting>
  <dataValidations count="3">
    <dataValidation type="list" allowBlank="1" showInputMessage="1" showErrorMessage="1" sqref="D11:E30 D40:D59" xr:uid="{00000000-0002-0000-0400-000000000000}">
      <formula1>INDIRECT(SUBSTITUTE(C11," ",""))</formula1>
    </dataValidation>
    <dataValidation type="list" allowBlank="1" showInputMessage="1" showErrorMessage="1" sqref="BX63" xr:uid="{00000000-0002-0000-0400-000001000000}">
      <formula1>INDIRECT("BV68:BV"&amp;BV63+67)</formula1>
    </dataValidation>
    <dataValidation type="list" allowBlank="1" showInputMessage="1" showErrorMessage="1" sqref="F68:G87" xr:uid="{00000000-0002-0000-0400-000002000000}">
      <formula1>INDIRECT(BV68)</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8DEEC304-660C-4352-BCED-E423A4D84715}">
          <x14:formula1>
            <xm:f>'11. Lists'!$A$2:$A$11</xm:f>
          </x14:formula1>
          <xm:sqref>C40:C59 C11:C30</xm:sqref>
        </x14:dataValidation>
        <x14:dataValidation type="list" allowBlank="1" showInputMessage="1" showErrorMessage="1" xr:uid="{6A0E90FD-C45C-4EEE-94A0-6C0B179AC7A4}">
          <x14:formula1>
            <xm:f>'11. Lists'!$F$36:$F$37</xm:f>
          </x14:formula1>
          <xm:sqref>H40:H60 H68:H88 F11:H31</xm:sqref>
        </x14:dataValidation>
        <x14:dataValidation type="list" allowBlank="1" showInputMessage="1" showErrorMessage="1" xr:uid="{753D403C-FC57-4E7C-B04C-0535AA9E9FAF}">
          <x14:formula1>
            <xm:f>'11. Lists'!$F$47:$F$51</xm:f>
          </x14:formula1>
          <xm:sqref>F40:G59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53631-8921-4865-916B-1CF388715C68}">
  <sheetPr codeName="Sheet3">
    <tabColor rgb="FF663300"/>
    <pageSetUpPr fitToPage="1"/>
  </sheetPr>
  <dimension ref="A1:CB127"/>
  <sheetViews>
    <sheetView topLeftCell="A14" zoomScale="80" zoomScaleNormal="80" workbookViewId="0"/>
  </sheetViews>
  <sheetFormatPr defaultColWidth="0" defaultRowHeight="14.4" zeroHeight="1" x14ac:dyDescent="0.3"/>
  <cols>
    <col min="1" max="1" width="4.44140625" customWidth="1"/>
    <col min="2" max="2" width="14.77734375" customWidth="1"/>
    <col min="3" max="3" width="24.44140625" bestFit="1" customWidth="1"/>
    <col min="4" max="4" width="40.109375" customWidth="1"/>
    <col min="5" max="5" width="27" customWidth="1"/>
    <col min="6" max="6" width="18.44140625" customWidth="1"/>
    <col min="7" max="7" width="39.6640625" customWidth="1"/>
    <col min="8" max="8" width="49.33203125" bestFit="1" customWidth="1"/>
    <col min="9" max="9" width="14.44140625" customWidth="1"/>
    <col min="10" max="10" width="12.6640625" customWidth="1"/>
    <col min="11" max="11" width="11.44140625" customWidth="1"/>
    <col min="12" max="12" width="13" customWidth="1"/>
    <col min="13" max="14" width="11.44140625" customWidth="1"/>
    <col min="15" max="16" width="27" customWidth="1"/>
    <col min="17" max="18" width="11.44140625" customWidth="1"/>
    <col min="19" max="19" width="2.44140625" customWidth="1"/>
    <col min="20" max="20" width="16.6640625" customWidth="1"/>
    <col min="21" max="21" width="14.77734375" customWidth="1"/>
    <col min="22" max="22" width="20.6640625" bestFit="1" customWidth="1"/>
    <col min="23" max="23" width="23.6640625" customWidth="1"/>
    <col min="24" max="24" width="16.77734375" bestFit="1" customWidth="1"/>
    <col min="25" max="25" width="14" hidden="1" customWidth="1"/>
    <col min="26" max="26" width="22" hidden="1" customWidth="1"/>
    <col min="27" max="27" width="14" hidden="1" customWidth="1"/>
    <col min="28" max="28" width="33.6640625" customWidth="1"/>
    <col min="29" max="30" width="32.6640625" customWidth="1"/>
    <col min="31" max="31" width="18.6640625" customWidth="1"/>
    <col min="32" max="32" width="23.6640625" customWidth="1"/>
    <col min="33" max="33" width="16.6640625" customWidth="1"/>
    <col min="34" max="34" width="65.6640625" bestFit="1" customWidth="1"/>
    <col min="35" max="35" width="207" bestFit="1" customWidth="1"/>
    <col min="36" max="36" width="23.44140625" customWidth="1"/>
    <col min="37" max="37" width="23.44140625" hidden="1" customWidth="1"/>
    <col min="38" max="38" width="16.6640625" hidden="1" customWidth="1"/>
    <col min="39" max="39" width="13.33203125" hidden="1" customWidth="1"/>
    <col min="40" max="40" width="12.33203125" customWidth="1"/>
    <col min="41" max="41" width="34.109375" bestFit="1" customWidth="1"/>
    <col min="42" max="42" width="19.6640625" bestFit="1" customWidth="1"/>
    <col min="43" max="43" width="16.33203125" bestFit="1" customWidth="1"/>
    <col min="44" max="47" width="27.33203125" customWidth="1"/>
    <col min="48" max="48" width="21.109375" bestFit="1" customWidth="1"/>
    <col min="49" max="49" width="23.33203125" bestFit="1" customWidth="1"/>
    <col min="50" max="50" width="68.33203125" customWidth="1"/>
    <col min="51" max="51" width="23.33203125" customWidth="1"/>
    <col min="52" max="52" width="24.44140625" customWidth="1"/>
    <col min="53" max="53" width="18.6640625" customWidth="1"/>
    <col min="54" max="73" width="31.6640625" customWidth="1"/>
    <col min="74" max="74" width="15.44140625" customWidth="1"/>
    <col min="75" max="80" width="8.77734375" customWidth="1"/>
    <col min="81" max="81" width="8.77734375" hidden="1" customWidth="1"/>
    <col min="82" max="16384" width="8.77734375" hidden="1"/>
  </cols>
  <sheetData>
    <row r="1" spans="1:35" s="97" customFormat="1" ht="15.75" customHeight="1" x14ac:dyDescent="0.3">
      <c r="I1" s="114"/>
      <c r="J1" s="114"/>
      <c r="K1" s="114"/>
      <c r="L1" s="114"/>
      <c r="M1" s="114"/>
      <c r="N1" s="114"/>
      <c r="O1" s="69" t="s">
        <v>65</v>
      </c>
      <c r="P1" s="299">
        <f>IFERROR(SUM(AE11:AE30), "Error ▲")</f>
        <v>0</v>
      </c>
      <c r="R1" s="649" t="s">
        <v>66</v>
      </c>
      <c r="T1" s="98"/>
    </row>
    <row r="2" spans="1:35" s="97" customFormat="1" ht="19.95" customHeight="1" x14ac:dyDescent="0.35">
      <c r="B2" s="139" t="s">
        <v>67</v>
      </c>
      <c r="C2" s="827" t="str">
        <f>IF('2. Site Details'!D4="","Enter site name on 2. Site Details",'2. Site Details'!D4)</f>
        <v>4788</v>
      </c>
      <c r="D2" s="828"/>
      <c r="F2" s="829" t="s">
        <v>229</v>
      </c>
      <c r="G2" s="830"/>
      <c r="H2" s="831"/>
      <c r="I2" s="114"/>
      <c r="J2" s="838" t="str" cm="1">
        <f t="array" aca="1" ref="J2" ca="1">IFERROR(IF(OR((ISNUMBER(SEARCH("▲",A7:Q101)))),"Input Errors Present On Sheet - Red Cells Or ▲ Highlight Errors","All Key Rules Satisfied ✓ "),"Technical Errors On Sheet ▲")</f>
        <v xml:space="preserve">All Key Rules Satisfied ✓ </v>
      </c>
      <c r="K2" s="838"/>
      <c r="L2" s="838"/>
      <c r="M2" s="838"/>
      <c r="N2" s="140"/>
      <c r="O2" s="142" t="s">
        <v>69</v>
      </c>
      <c r="P2" s="299">
        <f>IFERROR(N31, "Error ▲")</f>
        <v>0</v>
      </c>
      <c r="R2" s="649"/>
      <c r="T2" s="98"/>
    </row>
    <row r="3" spans="1:35" s="97" customFormat="1" ht="19.95" customHeight="1" x14ac:dyDescent="0.35">
      <c r="B3" s="141" t="s">
        <v>16</v>
      </c>
      <c r="C3" s="839" t="s">
        <v>230</v>
      </c>
      <c r="D3" s="840"/>
      <c r="F3" s="832"/>
      <c r="G3" s="833"/>
      <c r="H3" s="834"/>
      <c r="I3" s="114"/>
      <c r="J3" s="838"/>
      <c r="K3" s="838"/>
      <c r="L3" s="838"/>
      <c r="M3" s="838"/>
      <c r="N3" s="140"/>
      <c r="O3" s="142" t="s">
        <v>71</v>
      </c>
      <c r="P3" s="299">
        <f>IFERROR(L59, "Error ▲")</f>
        <v>0</v>
      </c>
      <c r="R3" s="649"/>
      <c r="T3" s="98"/>
    </row>
    <row r="4" spans="1:35" s="97" customFormat="1" ht="19.95" customHeight="1" x14ac:dyDescent="0.3">
      <c r="B4" s="143"/>
      <c r="C4" s="143"/>
      <c r="D4" s="143"/>
      <c r="F4" s="832"/>
      <c r="G4" s="833"/>
      <c r="H4" s="834"/>
      <c r="I4" s="114"/>
      <c r="J4" s="838"/>
      <c r="K4" s="838"/>
      <c r="L4" s="838"/>
      <c r="M4" s="838"/>
      <c r="N4" s="140"/>
      <c r="O4" s="142" t="s">
        <v>72</v>
      </c>
      <c r="P4" s="299">
        <f>IFERROR(L86, "Error ▲")</f>
        <v>0</v>
      </c>
      <c r="R4" s="649"/>
      <c r="T4" s="98"/>
    </row>
    <row r="5" spans="1:35" s="97" customFormat="1" ht="19.95" customHeight="1" x14ac:dyDescent="0.3">
      <c r="A5" s="12"/>
      <c r="F5" s="832"/>
      <c r="G5" s="833"/>
      <c r="H5" s="834"/>
      <c r="I5" s="114"/>
      <c r="J5" s="838"/>
      <c r="K5" s="838"/>
      <c r="L5" s="838"/>
      <c r="M5" s="838"/>
      <c r="N5" s="140"/>
      <c r="O5" s="144" t="s">
        <v>73</v>
      </c>
      <c r="P5" s="300">
        <f>IFERROR(P1+L59+L86-L31, "Error ▲")</f>
        <v>0</v>
      </c>
      <c r="R5" s="649"/>
      <c r="T5" s="98"/>
    </row>
    <row r="6" spans="1:35" s="97" customFormat="1" ht="13.2" customHeight="1" x14ac:dyDescent="0.3">
      <c r="A6" s="12"/>
      <c r="F6" s="835"/>
      <c r="G6" s="836"/>
      <c r="H6" s="837"/>
      <c r="I6" s="114"/>
      <c r="J6" s="114"/>
      <c r="K6" s="114"/>
      <c r="L6" s="114"/>
      <c r="M6" s="114"/>
      <c r="N6" s="114"/>
      <c r="O6" s="145"/>
      <c r="P6" s="145"/>
      <c r="R6" s="649"/>
      <c r="T6" s="98"/>
    </row>
    <row r="7" spans="1:35" s="97" customFormat="1" ht="19.2" customHeight="1" x14ac:dyDescent="0.4">
      <c r="B7" s="119" t="s">
        <v>74</v>
      </c>
      <c r="D7" s="146"/>
      <c r="H7" s="98"/>
      <c r="K7" s="98"/>
      <c r="L7" s="102"/>
      <c r="M7" s="102"/>
      <c r="N7" s="102"/>
      <c r="R7" s="649"/>
      <c r="T7" s="98"/>
    </row>
    <row r="8" spans="1:35" s="97" customFormat="1" ht="10.95" customHeight="1" x14ac:dyDescent="0.3">
      <c r="A8" s="147"/>
      <c r="R8" s="649"/>
    </row>
    <row r="9" spans="1:35" s="97" customFormat="1" ht="29.55" customHeight="1" x14ac:dyDescent="0.3">
      <c r="A9" s="147"/>
      <c r="B9" s="804" t="s">
        <v>59</v>
      </c>
      <c r="C9" s="765" t="s">
        <v>75</v>
      </c>
      <c r="D9" s="766"/>
      <c r="E9" s="767"/>
      <c r="F9" s="715" t="s">
        <v>76</v>
      </c>
      <c r="G9" s="807"/>
      <c r="H9" s="716"/>
      <c r="I9" s="765" t="s">
        <v>231</v>
      </c>
      <c r="J9" s="766"/>
      <c r="K9" s="767"/>
      <c r="L9" s="845" t="s">
        <v>78</v>
      </c>
      <c r="M9" s="846"/>
      <c r="N9" s="847"/>
      <c r="O9" s="845" t="s">
        <v>79</v>
      </c>
      <c r="P9" s="847"/>
      <c r="R9" s="649"/>
      <c r="T9" s="763" t="s">
        <v>80</v>
      </c>
      <c r="U9" s="773"/>
      <c r="V9" s="899"/>
      <c r="W9" s="763" t="s">
        <v>81</v>
      </c>
      <c r="X9" s="764"/>
      <c r="Y9" s="797"/>
      <c r="Z9" s="797"/>
      <c r="AA9" s="797"/>
      <c r="AB9" s="796" t="s">
        <v>82</v>
      </c>
      <c r="AC9" s="773"/>
      <c r="AD9" s="764"/>
      <c r="AE9" s="763" t="s">
        <v>83</v>
      </c>
      <c r="AF9" s="773"/>
      <c r="AG9" s="764"/>
      <c r="AH9" s="763" t="s">
        <v>84</v>
      </c>
      <c r="AI9" s="764" t="s">
        <v>85</v>
      </c>
    </row>
    <row r="10" spans="1:35" s="97" customFormat="1" ht="32.549999999999997" customHeight="1" x14ac:dyDescent="0.3">
      <c r="A10" s="147"/>
      <c r="B10" s="728"/>
      <c r="C10" s="144" t="s">
        <v>86</v>
      </c>
      <c r="D10" s="810" t="s">
        <v>87</v>
      </c>
      <c r="E10" s="917"/>
      <c r="F10" s="717"/>
      <c r="G10" s="808"/>
      <c r="H10" s="718"/>
      <c r="I10" s="144" t="s">
        <v>232</v>
      </c>
      <c r="J10" s="54" t="s">
        <v>233</v>
      </c>
      <c r="K10" s="42" t="s">
        <v>234</v>
      </c>
      <c r="L10" s="38" t="s">
        <v>235</v>
      </c>
      <c r="M10" s="37" t="s">
        <v>236</v>
      </c>
      <c r="N10" s="36" t="s">
        <v>93</v>
      </c>
      <c r="O10" s="144" t="s">
        <v>94</v>
      </c>
      <c r="P10" s="42" t="s">
        <v>95</v>
      </c>
      <c r="R10" s="649"/>
      <c r="T10" s="798" t="s">
        <v>96</v>
      </c>
      <c r="U10" s="799"/>
      <c r="V10" s="28" t="s">
        <v>97</v>
      </c>
      <c r="W10" s="65" t="s">
        <v>98</v>
      </c>
      <c r="X10" s="43" t="s">
        <v>97</v>
      </c>
      <c r="Y10" s="66"/>
      <c r="Z10" s="66"/>
      <c r="AA10" s="66"/>
      <c r="AB10" s="8" t="s">
        <v>82</v>
      </c>
      <c r="AC10" s="64" t="s">
        <v>82</v>
      </c>
      <c r="AD10" s="43" t="s">
        <v>99</v>
      </c>
      <c r="AE10" s="65" t="s">
        <v>100</v>
      </c>
      <c r="AF10" s="64" t="s">
        <v>101</v>
      </c>
      <c r="AG10" s="43" t="s">
        <v>102</v>
      </c>
      <c r="AH10" s="798"/>
      <c r="AI10" s="916"/>
    </row>
    <row r="11" spans="1:35" s="97" customFormat="1" ht="28.8" customHeight="1" x14ac:dyDescent="0.3">
      <c r="A11" s="147"/>
      <c r="B11" s="292">
        <v>1</v>
      </c>
      <c r="C11" s="385" t="s">
        <v>237</v>
      </c>
      <c r="D11" s="876"/>
      <c r="E11" s="877"/>
      <c r="F11" s="918"/>
      <c r="G11" s="919"/>
      <c r="H11" s="920"/>
      <c r="I11" s="316"/>
      <c r="J11" s="317"/>
      <c r="K11" s="318"/>
      <c r="L11" s="35" t="str">
        <f t="shared" ref="L11:L30" si="0">IF(D11="","",IFERROR(IF(I11="","",((I11/1000)*V11*X11)*AD11),"This intervention is not permitted within the SSM ▲"))</f>
        <v/>
      </c>
      <c r="M11" s="328" t="str">
        <f t="shared" ref="M11:M30" si="1">IF(I11="","",IF(J11+K11&gt;I11,"Length Error ▲",I11-J11-K11))</f>
        <v/>
      </c>
      <c r="N11" s="34" t="str">
        <f t="shared" ref="N11:N30" si="2">IFERROR(IF(I11="","",IF(M11="Length Error ▲","Length Error ▲",((M11/1000)*V11*X11)*AD11)),"This intervention is not permitted within the SSM ▲")</f>
        <v/>
      </c>
      <c r="O11" s="188"/>
      <c r="P11" s="189"/>
      <c r="R11" s="649"/>
      <c r="T11" s="785" t="str">
        <f>IF(D11="","",VLOOKUP(D11,'9. All Habitats + Multipliers'!$C$4:$K$102,5,FALSE))</f>
        <v/>
      </c>
      <c r="U11" s="786"/>
      <c r="V11" s="351" t="str">
        <f>IF(T11="","",VLOOKUP(T11,'11. Lists'!$S$47:$U$50,2,FALSE))</f>
        <v/>
      </c>
      <c r="W11" s="61" t="str">
        <f>IF(D11="","",VLOOKUP(D11,'10. Condition and Temporal'!$B$6:$C$103,2,FALSE))</f>
        <v/>
      </c>
      <c r="X11" s="148" t="str">
        <f>IF(W11="","",VLOOKUP(W11,'11. Lists'!$F$47:$G$51,2,FALSE))</f>
        <v/>
      </c>
      <c r="Y11" s="111"/>
      <c r="Z11" s="111"/>
      <c r="AA11" s="111"/>
      <c r="AB11" s="225" t="str">
        <f t="shared" ref="AB11:AB30" si="3">IF(F11="","",F11)</f>
        <v/>
      </c>
      <c r="AC11" s="60" t="str">
        <f>IF(AB11="","",VLOOKUP(AB11,'11. Lists'!$F$36:$H$38,2,FALSE))</f>
        <v/>
      </c>
      <c r="AD11" s="148" t="str">
        <f>IF(AB11="","",VLOOKUP(AB11,'11. Lists'!$F$36:$H$38,3,FALSE))</f>
        <v/>
      </c>
      <c r="AE11" s="312" t="str">
        <f t="shared" ref="AE11:AE30" si="4">IF(D11="","",((J11/1000)*V11*X11)*AD11)</f>
        <v/>
      </c>
      <c r="AF11" s="313" t="str">
        <f t="shared" ref="AF11:AF30" si="5">IF(D11="","",((K11/1000)*V11*X11)*AD11)</f>
        <v/>
      </c>
      <c r="AG11" s="149" t="str">
        <f t="shared" ref="AG11:AG30" si="6">IF(D11="","",M11)</f>
        <v/>
      </c>
      <c r="AH11" s="61" t="str">
        <f>IF(T11="","",VLOOKUP(T11,'11. Lists'!$B$47:$D$49,3,FALSE))</f>
        <v/>
      </c>
      <c r="AI11" s="148" t="str">
        <f>IF(D11="","",VLOOKUP(D11,'10. Condition and Temporal'!$B$6:$L$103,4,FALSE))</f>
        <v/>
      </c>
    </row>
    <row r="12" spans="1:35" s="97" customFormat="1" ht="28.8" customHeight="1" x14ac:dyDescent="0.3">
      <c r="B12" s="286">
        <v>2</v>
      </c>
      <c r="C12" s="385" t="s">
        <v>237</v>
      </c>
      <c r="D12" s="733"/>
      <c r="E12" s="734"/>
      <c r="F12" s="913"/>
      <c r="G12" s="914"/>
      <c r="H12" s="915"/>
      <c r="I12" s="319"/>
      <c r="J12" s="320"/>
      <c r="K12" s="321"/>
      <c r="L12" s="25" t="str">
        <f t="shared" si="0"/>
        <v/>
      </c>
      <c r="M12" s="315" t="str">
        <f t="shared" si="1"/>
        <v/>
      </c>
      <c r="N12" s="23" t="str">
        <f t="shared" si="2"/>
        <v/>
      </c>
      <c r="O12" s="130"/>
      <c r="P12" s="77"/>
      <c r="R12" s="649"/>
      <c r="T12" s="785" t="str">
        <f>IF(D12="","",VLOOKUP(D12,'9. All Habitats + Multipliers'!$C$4:$K$102,5,FALSE))</f>
        <v/>
      </c>
      <c r="U12" s="786"/>
      <c r="V12" s="351" t="str">
        <f>IF(T12="","",VLOOKUP(T12,'11. Lists'!$S$47:$U$50,2,FALSE))</f>
        <v/>
      </c>
      <c r="W12" s="61" t="str">
        <f>IF(D12="","",VLOOKUP(D12,'10. Condition and Temporal'!$B$6:$C$103,2,FALSE))</f>
        <v/>
      </c>
      <c r="X12" s="148" t="str">
        <f>IF(W12="","",VLOOKUP(W12,'11. Lists'!$F$47:$G$51,2,FALSE))</f>
        <v/>
      </c>
      <c r="Y12" s="111"/>
      <c r="Z12" s="111"/>
      <c r="AA12" s="111"/>
      <c r="AB12" s="225" t="str">
        <f t="shared" si="3"/>
        <v/>
      </c>
      <c r="AC12" s="60" t="str">
        <f>IF(AB12="","",VLOOKUP(AB12,'11. Lists'!$F$36:$H$38,2,FALSE))</f>
        <v/>
      </c>
      <c r="AD12" s="148" t="str">
        <f>IF(AB12="","",VLOOKUP(AB12,'11. Lists'!$F$36:$H$38,3,FALSE))</f>
        <v/>
      </c>
      <c r="AE12" s="312" t="str">
        <f t="shared" si="4"/>
        <v/>
      </c>
      <c r="AF12" s="313" t="str">
        <f t="shared" si="5"/>
        <v/>
      </c>
      <c r="AG12" s="149" t="str">
        <f t="shared" si="6"/>
        <v/>
      </c>
      <c r="AH12" s="61" t="str">
        <f>IF(T12="","",VLOOKUP(T12,'11. Lists'!$B$47:$D$49,3,FALSE))</f>
        <v/>
      </c>
      <c r="AI12" s="148" t="str">
        <f>IF(D12="","",VLOOKUP(D12,'10. Condition and Temporal'!$B$6:$L$103,4,FALSE))</f>
        <v/>
      </c>
    </row>
    <row r="13" spans="1:35" s="97" customFormat="1" ht="28.8" customHeight="1" x14ac:dyDescent="0.3">
      <c r="B13" s="286">
        <v>3</v>
      </c>
      <c r="C13" s="385" t="s">
        <v>237</v>
      </c>
      <c r="D13" s="733"/>
      <c r="E13" s="734"/>
      <c r="F13" s="913"/>
      <c r="G13" s="914"/>
      <c r="H13" s="915"/>
      <c r="I13" s="319"/>
      <c r="J13" s="320"/>
      <c r="K13" s="321"/>
      <c r="L13" s="25" t="str">
        <f t="shared" si="0"/>
        <v/>
      </c>
      <c r="M13" s="315" t="str">
        <f t="shared" si="1"/>
        <v/>
      </c>
      <c r="N13" s="23" t="str">
        <f t="shared" si="2"/>
        <v/>
      </c>
      <c r="O13" s="307"/>
      <c r="P13" s="77"/>
      <c r="R13" s="649"/>
      <c r="T13" s="785" t="str">
        <f>IF(D13="","",VLOOKUP(D13,'9. All Habitats + Multipliers'!$C$4:$K$102,5,FALSE))</f>
        <v/>
      </c>
      <c r="U13" s="786"/>
      <c r="V13" s="351" t="str">
        <f>IF(T13="","",VLOOKUP(T13,'11. Lists'!$S$47:$U$50,2,FALSE))</f>
        <v/>
      </c>
      <c r="W13" s="61" t="str">
        <f>IF(D13="","",VLOOKUP(D13,'10. Condition and Temporal'!$B$6:$C$103,2,FALSE))</f>
        <v/>
      </c>
      <c r="X13" s="148" t="str">
        <f>IF(W13="","",VLOOKUP(W13,'11. Lists'!$F$47:$G$51,2,FALSE))</f>
        <v/>
      </c>
      <c r="Y13" s="111"/>
      <c r="Z13" s="111"/>
      <c r="AA13" s="111"/>
      <c r="AB13" s="225" t="str">
        <f t="shared" si="3"/>
        <v/>
      </c>
      <c r="AC13" s="60" t="str">
        <f>IF(AB13="","",VLOOKUP(AB13,'11. Lists'!$F$36:$H$38,2,FALSE))</f>
        <v/>
      </c>
      <c r="AD13" s="148" t="str">
        <f>IF(AB13="","",VLOOKUP(AB13,'11. Lists'!$F$36:$H$38,3,FALSE))</f>
        <v/>
      </c>
      <c r="AE13" s="312" t="str">
        <f t="shared" si="4"/>
        <v/>
      </c>
      <c r="AF13" s="313" t="str">
        <f t="shared" si="5"/>
        <v/>
      </c>
      <c r="AG13" s="149" t="str">
        <f t="shared" si="6"/>
        <v/>
      </c>
      <c r="AH13" s="61" t="str">
        <f>IF(T13="","",VLOOKUP(T13,'11. Lists'!$B$47:$D$49,3,FALSE))</f>
        <v/>
      </c>
      <c r="AI13" s="148" t="str">
        <f>IF(D13="","",VLOOKUP(D13,'10. Condition and Temporal'!$B$6:$L$103,4,FALSE))</f>
        <v/>
      </c>
    </row>
    <row r="14" spans="1:35" s="97" customFormat="1" ht="28.8" customHeight="1" x14ac:dyDescent="0.3">
      <c r="B14" s="286">
        <v>4</v>
      </c>
      <c r="C14" s="385" t="s">
        <v>237</v>
      </c>
      <c r="D14" s="733"/>
      <c r="E14" s="734"/>
      <c r="F14" s="913"/>
      <c r="G14" s="914"/>
      <c r="H14" s="915"/>
      <c r="I14" s="319"/>
      <c r="J14" s="320"/>
      <c r="K14" s="321"/>
      <c r="L14" s="25" t="str">
        <f t="shared" si="0"/>
        <v/>
      </c>
      <c r="M14" s="315" t="str">
        <f t="shared" si="1"/>
        <v/>
      </c>
      <c r="N14" s="23" t="str">
        <f t="shared" si="2"/>
        <v/>
      </c>
      <c r="O14" s="130"/>
      <c r="P14" s="77"/>
      <c r="R14" s="649"/>
      <c r="T14" s="785" t="str">
        <f>IF(D14="","",VLOOKUP(D14,'9. All Habitats + Multipliers'!$C$4:$K$102,5,FALSE))</f>
        <v/>
      </c>
      <c r="U14" s="786"/>
      <c r="V14" s="351" t="str">
        <f>IF(T14="","",VLOOKUP(T14,'11. Lists'!$S$47:$U$50,2,FALSE))</f>
        <v/>
      </c>
      <c r="W14" s="61" t="str">
        <f>IF(D14="","",VLOOKUP(D14,'10. Condition and Temporal'!$B$6:$C$103,2,FALSE))</f>
        <v/>
      </c>
      <c r="X14" s="148" t="str">
        <f>IF(W14="","",VLOOKUP(W14,'11. Lists'!$F$47:$G$51,2,FALSE))</f>
        <v/>
      </c>
      <c r="Y14" s="111"/>
      <c r="Z14" s="111"/>
      <c r="AA14" s="111"/>
      <c r="AB14" s="225" t="str">
        <f t="shared" si="3"/>
        <v/>
      </c>
      <c r="AC14" s="60" t="str">
        <f>IF(AB14="","",VLOOKUP(AB14,'11. Lists'!$F$36:$H$38,2,FALSE))</f>
        <v/>
      </c>
      <c r="AD14" s="148" t="str">
        <f>IF(AB14="","",VLOOKUP(AB14,'11. Lists'!$F$36:$H$38,3,FALSE))</f>
        <v/>
      </c>
      <c r="AE14" s="312" t="str">
        <f t="shared" si="4"/>
        <v/>
      </c>
      <c r="AF14" s="313" t="str">
        <f t="shared" si="5"/>
        <v/>
      </c>
      <c r="AG14" s="149" t="str">
        <f t="shared" si="6"/>
        <v/>
      </c>
      <c r="AH14" s="61" t="str">
        <f>IF(T14="","",VLOOKUP(T14,'11. Lists'!$B$47:$D$49,3,FALSE))</f>
        <v/>
      </c>
      <c r="AI14" s="148" t="str">
        <f>IF(D14="","",VLOOKUP(D14,'10. Condition and Temporal'!$B$6:$L$103,4,FALSE))</f>
        <v/>
      </c>
    </row>
    <row r="15" spans="1:35" s="97" customFormat="1" ht="28.8" customHeight="1" x14ac:dyDescent="0.3">
      <c r="B15" s="286">
        <v>5</v>
      </c>
      <c r="C15" s="385" t="s">
        <v>237</v>
      </c>
      <c r="D15" s="733"/>
      <c r="E15" s="734"/>
      <c r="F15" s="813"/>
      <c r="G15" s="814"/>
      <c r="H15" s="815"/>
      <c r="I15" s="319"/>
      <c r="J15" s="320"/>
      <c r="K15" s="321"/>
      <c r="L15" s="25" t="str">
        <f t="shared" si="0"/>
        <v/>
      </c>
      <c r="M15" s="315" t="str">
        <f t="shared" si="1"/>
        <v/>
      </c>
      <c r="N15" s="23" t="str">
        <f t="shared" si="2"/>
        <v/>
      </c>
      <c r="O15" s="130"/>
      <c r="P15" s="77"/>
      <c r="R15" s="649"/>
      <c r="T15" s="785" t="str">
        <f>IF(D15="","",VLOOKUP(D15,'9. All Habitats + Multipliers'!$C$4:$K$102,5,FALSE))</f>
        <v/>
      </c>
      <c r="U15" s="786"/>
      <c r="V15" s="351" t="str">
        <f>IF(T15="","",VLOOKUP(T15,'11. Lists'!$S$47:$U$50,2,FALSE))</f>
        <v/>
      </c>
      <c r="W15" s="61" t="str">
        <f>IF(D15="","",VLOOKUP(D15,'10. Condition and Temporal'!$B$6:$C$103,2,FALSE))</f>
        <v/>
      </c>
      <c r="X15" s="148" t="str">
        <f>IF(W15="","",VLOOKUP(W15,'11. Lists'!$F$47:$G$51,2,FALSE))</f>
        <v/>
      </c>
      <c r="Y15" s="111"/>
      <c r="Z15" s="111"/>
      <c r="AA15" s="111"/>
      <c r="AB15" s="225" t="str">
        <f t="shared" si="3"/>
        <v/>
      </c>
      <c r="AC15" s="60" t="str">
        <f>IF(AB15="","",VLOOKUP(AB15,'11. Lists'!$F$36:$H$38,2,FALSE))</f>
        <v/>
      </c>
      <c r="AD15" s="148" t="str">
        <f>IF(AB15="","",VLOOKUP(AB15,'11. Lists'!$F$36:$H$38,3,FALSE))</f>
        <v/>
      </c>
      <c r="AE15" s="312" t="str">
        <f t="shared" si="4"/>
        <v/>
      </c>
      <c r="AF15" s="313" t="str">
        <f t="shared" si="5"/>
        <v/>
      </c>
      <c r="AG15" s="149" t="str">
        <f t="shared" si="6"/>
        <v/>
      </c>
      <c r="AH15" s="61" t="str">
        <f>IF(T15="","",VLOOKUP(T15,'11. Lists'!$B$47:$D$49,3,FALSE))</f>
        <v/>
      </c>
      <c r="AI15" s="148" t="str">
        <f>IF(D15="","",VLOOKUP(D15,'10. Condition and Temporal'!$B$6:$L$103,4,FALSE))</f>
        <v/>
      </c>
    </row>
    <row r="16" spans="1:35" s="97" customFormat="1" ht="28.8" customHeight="1" x14ac:dyDescent="0.3">
      <c r="B16" s="286">
        <v>6</v>
      </c>
      <c r="C16" s="385" t="s">
        <v>237</v>
      </c>
      <c r="D16" s="733"/>
      <c r="E16" s="734"/>
      <c r="F16" s="813"/>
      <c r="G16" s="814"/>
      <c r="H16" s="815"/>
      <c r="I16" s="319"/>
      <c r="J16" s="320"/>
      <c r="K16" s="321"/>
      <c r="L16" s="25" t="str">
        <f t="shared" si="0"/>
        <v/>
      </c>
      <c r="M16" s="315" t="str">
        <f t="shared" si="1"/>
        <v/>
      </c>
      <c r="N16" s="23" t="str">
        <f t="shared" si="2"/>
        <v/>
      </c>
      <c r="O16" s="130"/>
      <c r="P16" s="77"/>
      <c r="R16" s="649"/>
      <c r="T16" s="785" t="str">
        <f>IF(D16="","",VLOOKUP(D16,'9. All Habitats + Multipliers'!$C$4:$K$102,5,FALSE))</f>
        <v/>
      </c>
      <c r="U16" s="786"/>
      <c r="V16" s="351" t="str">
        <f>IF(T16="","",VLOOKUP(T16,'11. Lists'!$S$47:$U$50,2,FALSE))</f>
        <v/>
      </c>
      <c r="W16" s="61" t="str">
        <f>IF(D16="","",VLOOKUP(D16,'10. Condition and Temporal'!$B$6:$C$103,2,FALSE))</f>
        <v/>
      </c>
      <c r="X16" s="148" t="str">
        <f>IF(W16="","",VLOOKUP(W16,'11. Lists'!$F$47:$G$51,2,FALSE))</f>
        <v/>
      </c>
      <c r="Y16" s="111"/>
      <c r="Z16" s="111"/>
      <c r="AA16" s="111"/>
      <c r="AB16" s="225" t="str">
        <f t="shared" si="3"/>
        <v/>
      </c>
      <c r="AC16" s="60" t="str">
        <f>IF(AB16="","",VLOOKUP(AB16,'11. Lists'!$F$36:$H$38,2,FALSE))</f>
        <v/>
      </c>
      <c r="AD16" s="148" t="str">
        <f>IF(AB16="","",VLOOKUP(AB16,'11. Lists'!$F$36:$H$38,3,FALSE))</f>
        <v/>
      </c>
      <c r="AE16" s="312" t="str">
        <f t="shared" si="4"/>
        <v/>
      </c>
      <c r="AF16" s="313" t="str">
        <f t="shared" si="5"/>
        <v/>
      </c>
      <c r="AG16" s="149" t="str">
        <f t="shared" si="6"/>
        <v/>
      </c>
      <c r="AH16" s="61" t="str">
        <f>IF(T16="","",VLOOKUP(T16,'11. Lists'!$B$47:$D$49,3,FALSE))</f>
        <v/>
      </c>
      <c r="AI16" s="148" t="str">
        <f>IF(D16="","",VLOOKUP(D16,'10. Condition and Temporal'!$B$6:$L$103,4,FALSE))</f>
        <v/>
      </c>
    </row>
    <row r="17" spans="2:35" s="97" customFormat="1" ht="28.8" customHeight="1" x14ac:dyDescent="0.3">
      <c r="B17" s="286">
        <v>7</v>
      </c>
      <c r="C17" s="385" t="s">
        <v>237</v>
      </c>
      <c r="D17" s="733"/>
      <c r="E17" s="734"/>
      <c r="F17" s="813"/>
      <c r="G17" s="814"/>
      <c r="H17" s="815"/>
      <c r="I17" s="319"/>
      <c r="J17" s="320"/>
      <c r="K17" s="321"/>
      <c r="L17" s="25" t="str">
        <f t="shared" si="0"/>
        <v/>
      </c>
      <c r="M17" s="315" t="str">
        <f t="shared" si="1"/>
        <v/>
      </c>
      <c r="N17" s="23" t="str">
        <f t="shared" si="2"/>
        <v/>
      </c>
      <c r="O17" s="130"/>
      <c r="P17" s="77"/>
      <c r="R17" s="649"/>
      <c r="T17" s="785" t="str">
        <f>IF(D17="","",VLOOKUP(D17,'9. All Habitats + Multipliers'!$C$4:$K$102,5,FALSE))</f>
        <v/>
      </c>
      <c r="U17" s="786"/>
      <c r="V17" s="351" t="str">
        <f>IF(T17="","",VLOOKUP(T17,'11. Lists'!$S$47:$U$50,2,FALSE))</f>
        <v/>
      </c>
      <c r="W17" s="61" t="str">
        <f>IF(D17="","",VLOOKUP(D17,'10. Condition and Temporal'!$B$6:$C$103,2,FALSE))</f>
        <v/>
      </c>
      <c r="X17" s="148" t="str">
        <f>IF(W17="","",VLOOKUP(W17,'11. Lists'!$F$47:$G$51,2,FALSE))</f>
        <v/>
      </c>
      <c r="Y17" s="111"/>
      <c r="Z17" s="111"/>
      <c r="AA17" s="111"/>
      <c r="AB17" s="225" t="str">
        <f t="shared" si="3"/>
        <v/>
      </c>
      <c r="AC17" s="60" t="str">
        <f>IF(AB17="","",VLOOKUP(AB17,'11. Lists'!$F$36:$H$38,2,FALSE))</f>
        <v/>
      </c>
      <c r="AD17" s="148" t="str">
        <f>IF(AB17="","",VLOOKUP(AB17,'11. Lists'!$F$36:$H$38,3,FALSE))</f>
        <v/>
      </c>
      <c r="AE17" s="312" t="str">
        <f t="shared" si="4"/>
        <v/>
      </c>
      <c r="AF17" s="313" t="str">
        <f t="shared" si="5"/>
        <v/>
      </c>
      <c r="AG17" s="149" t="str">
        <f t="shared" si="6"/>
        <v/>
      </c>
      <c r="AH17" s="61" t="str">
        <f>IF(T17="","",VLOOKUP(T17,'11. Lists'!$B$47:$D$49,3,FALSE))</f>
        <v/>
      </c>
      <c r="AI17" s="148" t="str">
        <f>IF(D17="","",VLOOKUP(D17,'10. Condition and Temporal'!$B$6:$L$103,4,FALSE))</f>
        <v/>
      </c>
    </row>
    <row r="18" spans="2:35" s="97" customFormat="1" ht="28.8" customHeight="1" x14ac:dyDescent="0.3">
      <c r="B18" s="286">
        <v>8</v>
      </c>
      <c r="C18" s="385" t="s">
        <v>237</v>
      </c>
      <c r="D18" s="733"/>
      <c r="E18" s="734"/>
      <c r="F18" s="813"/>
      <c r="G18" s="814"/>
      <c r="H18" s="815"/>
      <c r="I18" s="319"/>
      <c r="J18" s="320"/>
      <c r="K18" s="321"/>
      <c r="L18" s="25" t="str">
        <f t="shared" si="0"/>
        <v/>
      </c>
      <c r="M18" s="315" t="str">
        <f t="shared" si="1"/>
        <v/>
      </c>
      <c r="N18" s="23" t="str">
        <f t="shared" si="2"/>
        <v/>
      </c>
      <c r="O18" s="130"/>
      <c r="P18" s="77"/>
      <c r="R18" s="649"/>
      <c r="T18" s="785" t="str">
        <f>IF(D18="","",VLOOKUP(D18,'9. All Habitats + Multipliers'!$C$4:$K$102,5,FALSE))</f>
        <v/>
      </c>
      <c r="U18" s="786"/>
      <c r="V18" s="351" t="str">
        <f>IF(T18="","",VLOOKUP(T18,'11. Lists'!$S$47:$U$50,2,FALSE))</f>
        <v/>
      </c>
      <c r="W18" s="61" t="str">
        <f>IF(D18="","",VLOOKUP(D18,'10. Condition and Temporal'!$B$6:$C$103,2,FALSE))</f>
        <v/>
      </c>
      <c r="X18" s="148" t="str">
        <f>IF(W18="","",VLOOKUP(W18,'11. Lists'!$F$47:$G$51,2,FALSE))</f>
        <v/>
      </c>
      <c r="Y18" s="111"/>
      <c r="Z18" s="111"/>
      <c r="AA18" s="111"/>
      <c r="AB18" s="225" t="str">
        <f t="shared" si="3"/>
        <v/>
      </c>
      <c r="AC18" s="60" t="str">
        <f>IF(AB18="","",VLOOKUP(AB18,'11. Lists'!$F$36:$H$38,2,FALSE))</f>
        <v/>
      </c>
      <c r="AD18" s="148" t="str">
        <f>IF(AB18="","",VLOOKUP(AB18,'11. Lists'!$F$36:$H$38,3,FALSE))</f>
        <v/>
      </c>
      <c r="AE18" s="312" t="str">
        <f t="shared" si="4"/>
        <v/>
      </c>
      <c r="AF18" s="313" t="str">
        <f t="shared" si="5"/>
        <v/>
      </c>
      <c r="AG18" s="149" t="str">
        <f t="shared" si="6"/>
        <v/>
      </c>
      <c r="AH18" s="61" t="str">
        <f>IF(T18="","",VLOOKUP(T18,'11. Lists'!$B$47:$D$49,3,FALSE))</f>
        <v/>
      </c>
      <c r="AI18" s="148" t="str">
        <f>IF(D18="","",VLOOKUP(D18,'10. Condition and Temporal'!$B$6:$L$103,4,FALSE))</f>
        <v/>
      </c>
    </row>
    <row r="19" spans="2:35" s="97" customFormat="1" ht="28.8" customHeight="1" x14ac:dyDescent="0.3">
      <c r="B19" s="286">
        <v>9</v>
      </c>
      <c r="C19" s="385" t="s">
        <v>237</v>
      </c>
      <c r="D19" s="733"/>
      <c r="E19" s="734"/>
      <c r="F19" s="813"/>
      <c r="G19" s="814"/>
      <c r="H19" s="815"/>
      <c r="I19" s="319"/>
      <c r="J19" s="320"/>
      <c r="K19" s="321"/>
      <c r="L19" s="25" t="str">
        <f t="shared" si="0"/>
        <v/>
      </c>
      <c r="M19" s="315" t="str">
        <f t="shared" si="1"/>
        <v/>
      </c>
      <c r="N19" s="23" t="str">
        <f t="shared" si="2"/>
        <v/>
      </c>
      <c r="O19" s="130"/>
      <c r="P19" s="77"/>
      <c r="R19" s="649"/>
      <c r="T19" s="785" t="str">
        <f>IF(D19="","",VLOOKUP(D19,'9. All Habitats + Multipliers'!$C$4:$K$102,5,FALSE))</f>
        <v/>
      </c>
      <c r="U19" s="786"/>
      <c r="V19" s="351" t="str">
        <f>IF(T19="","",VLOOKUP(T19,'11. Lists'!$S$47:$U$50,2,FALSE))</f>
        <v/>
      </c>
      <c r="W19" s="61" t="str">
        <f>IF(D19="","",VLOOKUP(D19,'10. Condition and Temporal'!$B$6:$C$103,2,FALSE))</f>
        <v/>
      </c>
      <c r="X19" s="148" t="str">
        <f>IF(W19="","",VLOOKUP(W19,'11. Lists'!$F$47:$G$51,2,FALSE))</f>
        <v/>
      </c>
      <c r="Y19" s="111"/>
      <c r="Z19" s="111"/>
      <c r="AA19" s="111"/>
      <c r="AB19" s="225" t="str">
        <f t="shared" si="3"/>
        <v/>
      </c>
      <c r="AC19" s="60" t="str">
        <f>IF(AB19="","",VLOOKUP(AB19,'11. Lists'!$F$36:$H$38,2,FALSE))</f>
        <v/>
      </c>
      <c r="AD19" s="148" t="str">
        <f>IF(AB19="","",VLOOKUP(AB19,'11. Lists'!$F$36:$H$38,3,FALSE))</f>
        <v/>
      </c>
      <c r="AE19" s="312" t="str">
        <f t="shared" si="4"/>
        <v/>
      </c>
      <c r="AF19" s="313" t="str">
        <f t="shared" si="5"/>
        <v/>
      </c>
      <c r="AG19" s="149" t="str">
        <f t="shared" si="6"/>
        <v/>
      </c>
      <c r="AH19" s="61" t="str">
        <f>IF(T19="","",VLOOKUP(T19,'11. Lists'!$B$47:$D$49,3,FALSE))</f>
        <v/>
      </c>
      <c r="AI19" s="148" t="str">
        <f>IF(D19="","",VLOOKUP(D19,'10. Condition and Temporal'!$B$6:$L$103,4,FALSE))</f>
        <v/>
      </c>
    </row>
    <row r="20" spans="2:35" s="97" customFormat="1" ht="28.8" customHeight="1" x14ac:dyDescent="0.3">
      <c r="B20" s="286">
        <v>10</v>
      </c>
      <c r="C20" s="386" t="s">
        <v>237</v>
      </c>
      <c r="D20" s="733"/>
      <c r="E20" s="734"/>
      <c r="F20" s="813"/>
      <c r="G20" s="814"/>
      <c r="H20" s="815"/>
      <c r="I20" s="319"/>
      <c r="J20" s="320"/>
      <c r="K20" s="321"/>
      <c r="L20" s="25" t="str">
        <f t="shared" si="0"/>
        <v/>
      </c>
      <c r="M20" s="315" t="str">
        <f t="shared" si="1"/>
        <v/>
      </c>
      <c r="N20" s="23" t="str">
        <f t="shared" si="2"/>
        <v/>
      </c>
      <c r="O20" s="131"/>
      <c r="P20" s="81"/>
      <c r="R20" s="649"/>
      <c r="T20" s="785" t="str">
        <f>IF(D20="","",VLOOKUP(D20,'9. All Habitats + Multipliers'!$C$4:$K$102,5,FALSE))</f>
        <v/>
      </c>
      <c r="U20" s="786"/>
      <c r="V20" s="351" t="str">
        <f>IF(T20="","",VLOOKUP(T20,'11. Lists'!$S$47:$U$50,2,FALSE))</f>
        <v/>
      </c>
      <c r="W20" s="61" t="str">
        <f>IF(D20="","",VLOOKUP(D20,'10. Condition and Temporal'!$B$6:$C$103,2,FALSE))</f>
        <v/>
      </c>
      <c r="X20" s="148" t="str">
        <f>IF(W20="","",VLOOKUP(W20,'11. Lists'!$F$47:$G$51,2,FALSE))</f>
        <v/>
      </c>
      <c r="Y20" s="111"/>
      <c r="Z20" s="111"/>
      <c r="AA20" s="111"/>
      <c r="AB20" s="225" t="str">
        <f t="shared" si="3"/>
        <v/>
      </c>
      <c r="AC20" s="60" t="str">
        <f>IF(AB20="","",VLOOKUP(AB20,'11. Lists'!$F$36:$H$38,2,FALSE))</f>
        <v/>
      </c>
      <c r="AD20" s="148" t="str">
        <f>IF(AB20="","",VLOOKUP(AB20,'11. Lists'!$F$36:$H$38,3,FALSE))</f>
        <v/>
      </c>
      <c r="AE20" s="312" t="str">
        <f t="shared" si="4"/>
        <v/>
      </c>
      <c r="AF20" s="313" t="str">
        <f t="shared" si="5"/>
        <v/>
      </c>
      <c r="AG20" s="149" t="str">
        <f t="shared" si="6"/>
        <v/>
      </c>
      <c r="AH20" s="61" t="str">
        <f>IF(T20="","",VLOOKUP(T20,'11. Lists'!$B$47:$D$49,3,FALSE))</f>
        <v/>
      </c>
      <c r="AI20" s="148" t="str">
        <f>IF(D20="","",VLOOKUP(D20,'10. Condition and Temporal'!$B$6:$L$103,4,FALSE))</f>
        <v/>
      </c>
    </row>
    <row r="21" spans="2:35" s="97" customFormat="1" ht="28.8" customHeight="1" x14ac:dyDescent="0.3">
      <c r="B21" s="286">
        <v>11</v>
      </c>
      <c r="C21" s="385" t="s">
        <v>237</v>
      </c>
      <c r="D21" s="733"/>
      <c r="E21" s="734"/>
      <c r="F21" s="813"/>
      <c r="G21" s="814"/>
      <c r="H21" s="815"/>
      <c r="I21" s="319"/>
      <c r="J21" s="320"/>
      <c r="K21" s="321"/>
      <c r="L21" s="25" t="str">
        <f t="shared" si="0"/>
        <v/>
      </c>
      <c r="M21" s="315" t="str">
        <f t="shared" si="1"/>
        <v/>
      </c>
      <c r="N21" s="23" t="str">
        <f t="shared" si="2"/>
        <v/>
      </c>
      <c r="O21" s="131"/>
      <c r="P21" s="81"/>
      <c r="R21" s="649"/>
      <c r="T21" s="785" t="str">
        <f>IF(D21="","",VLOOKUP(D21,'9. All Habitats + Multipliers'!$C$4:$K$102,5,FALSE))</f>
        <v/>
      </c>
      <c r="U21" s="786"/>
      <c r="V21" s="351" t="str">
        <f>IF(T21="","",VLOOKUP(T21,'11. Lists'!$S$47:$U$50,2,FALSE))</f>
        <v/>
      </c>
      <c r="W21" s="61" t="str">
        <f>IF(D21="","",VLOOKUP(D21,'10. Condition and Temporal'!$B$6:$C$103,2,FALSE))</f>
        <v/>
      </c>
      <c r="X21" s="148" t="str">
        <f>IF(W21="","",VLOOKUP(W21,'11. Lists'!$F$47:$G$51,2,FALSE))</f>
        <v/>
      </c>
      <c r="Y21" s="111"/>
      <c r="Z21" s="111"/>
      <c r="AA21" s="111"/>
      <c r="AB21" s="225" t="str">
        <f t="shared" si="3"/>
        <v/>
      </c>
      <c r="AC21" s="60" t="str">
        <f>IF(AB21="","",VLOOKUP(AB21,'11. Lists'!$F$36:$H$38,2,FALSE))</f>
        <v/>
      </c>
      <c r="AD21" s="148" t="str">
        <f>IF(AB21="","",VLOOKUP(AB21,'11. Lists'!$F$36:$H$38,3,FALSE))</f>
        <v/>
      </c>
      <c r="AE21" s="312" t="str">
        <f t="shared" si="4"/>
        <v/>
      </c>
      <c r="AF21" s="313" t="str">
        <f t="shared" si="5"/>
        <v/>
      </c>
      <c r="AG21" s="149" t="str">
        <f t="shared" si="6"/>
        <v/>
      </c>
      <c r="AH21" s="61" t="str">
        <f>IF(T21="","",VLOOKUP(T21,'11. Lists'!$B$47:$D$49,3,FALSE))</f>
        <v/>
      </c>
      <c r="AI21" s="148" t="str">
        <f>IF(D21="","",VLOOKUP(D21,'10. Condition and Temporal'!$B$6:$L$103,4,FALSE))</f>
        <v/>
      </c>
    </row>
    <row r="22" spans="2:35" s="97" customFormat="1" ht="28.8" customHeight="1" x14ac:dyDescent="0.3">
      <c r="B22" s="286">
        <v>12</v>
      </c>
      <c r="C22" s="385" t="s">
        <v>237</v>
      </c>
      <c r="D22" s="733"/>
      <c r="E22" s="734"/>
      <c r="F22" s="813"/>
      <c r="G22" s="814"/>
      <c r="H22" s="815"/>
      <c r="I22" s="319"/>
      <c r="J22" s="320"/>
      <c r="K22" s="321"/>
      <c r="L22" s="25" t="str">
        <f t="shared" si="0"/>
        <v/>
      </c>
      <c r="M22" s="315" t="str">
        <f t="shared" si="1"/>
        <v/>
      </c>
      <c r="N22" s="23" t="str">
        <f t="shared" si="2"/>
        <v/>
      </c>
      <c r="O22" s="131"/>
      <c r="P22" s="81"/>
      <c r="R22" s="649"/>
      <c r="T22" s="785" t="str">
        <f>IF(D22="","",VLOOKUP(D22,'9. All Habitats + Multipliers'!$C$4:$K$102,5,FALSE))</f>
        <v/>
      </c>
      <c r="U22" s="786"/>
      <c r="V22" s="351" t="str">
        <f>IF(T22="","",VLOOKUP(T22,'11. Lists'!$S$47:$U$50,2,FALSE))</f>
        <v/>
      </c>
      <c r="W22" s="61" t="str">
        <f>IF(D22="","",VLOOKUP(D22,'10. Condition and Temporal'!$B$6:$C$103,2,FALSE))</f>
        <v/>
      </c>
      <c r="X22" s="148" t="str">
        <f>IF(W22="","",VLOOKUP(W22,'11. Lists'!$F$47:$G$51,2,FALSE))</f>
        <v/>
      </c>
      <c r="Y22" s="111"/>
      <c r="Z22" s="111"/>
      <c r="AA22" s="111"/>
      <c r="AB22" s="225" t="str">
        <f t="shared" si="3"/>
        <v/>
      </c>
      <c r="AC22" s="60" t="str">
        <f>IF(AB22="","",VLOOKUP(AB22,'11. Lists'!$F$36:$H$38,2,FALSE))</f>
        <v/>
      </c>
      <c r="AD22" s="148" t="str">
        <f>IF(AB22="","",VLOOKUP(AB22,'11. Lists'!$F$36:$H$38,3,FALSE))</f>
        <v/>
      </c>
      <c r="AE22" s="312" t="str">
        <f t="shared" si="4"/>
        <v/>
      </c>
      <c r="AF22" s="313" t="str">
        <f t="shared" si="5"/>
        <v/>
      </c>
      <c r="AG22" s="149" t="str">
        <f t="shared" si="6"/>
        <v/>
      </c>
      <c r="AH22" s="61" t="str">
        <f>IF(T22="","",VLOOKUP(T22,'11. Lists'!$B$47:$D$49,3,FALSE))</f>
        <v/>
      </c>
      <c r="AI22" s="148" t="str">
        <f>IF(D22="","",VLOOKUP(D22,'10. Condition and Temporal'!$B$6:$L$103,4,FALSE))</f>
        <v/>
      </c>
    </row>
    <row r="23" spans="2:35" s="97" customFormat="1" ht="28.8" customHeight="1" x14ac:dyDescent="0.3">
      <c r="B23" s="286">
        <v>13</v>
      </c>
      <c r="C23" s="385" t="s">
        <v>237</v>
      </c>
      <c r="D23" s="733"/>
      <c r="E23" s="734"/>
      <c r="F23" s="813"/>
      <c r="G23" s="814"/>
      <c r="H23" s="815"/>
      <c r="I23" s="319"/>
      <c r="J23" s="320"/>
      <c r="K23" s="321"/>
      <c r="L23" s="25" t="str">
        <f t="shared" si="0"/>
        <v/>
      </c>
      <c r="M23" s="315" t="str">
        <f t="shared" si="1"/>
        <v/>
      </c>
      <c r="N23" s="23" t="str">
        <f t="shared" si="2"/>
        <v/>
      </c>
      <c r="O23" s="131"/>
      <c r="P23" s="81"/>
      <c r="R23" s="649"/>
      <c r="T23" s="785" t="str">
        <f>IF(D23="","",VLOOKUP(D23,'9. All Habitats + Multipliers'!$C$4:$K$102,5,FALSE))</f>
        <v/>
      </c>
      <c r="U23" s="786"/>
      <c r="V23" s="351" t="str">
        <f>IF(T23="","",VLOOKUP(T23,'11. Lists'!$S$47:$U$50,2,FALSE))</f>
        <v/>
      </c>
      <c r="W23" s="61" t="str">
        <f>IF(D23="","",VLOOKUP(D23,'10. Condition and Temporal'!$B$6:$C$103,2,FALSE))</f>
        <v/>
      </c>
      <c r="X23" s="148" t="str">
        <f>IF(W23="","",VLOOKUP(W23,'11. Lists'!$F$47:$G$51,2,FALSE))</f>
        <v/>
      </c>
      <c r="Y23" s="111"/>
      <c r="Z23" s="111"/>
      <c r="AA23" s="111"/>
      <c r="AB23" s="225" t="str">
        <f t="shared" si="3"/>
        <v/>
      </c>
      <c r="AC23" s="60" t="str">
        <f>IF(AB23="","",VLOOKUP(AB23,'11. Lists'!$F$36:$H$38,2,FALSE))</f>
        <v/>
      </c>
      <c r="AD23" s="148" t="str">
        <f>IF(AB23="","",VLOOKUP(AB23,'11. Lists'!$F$36:$H$38,3,FALSE))</f>
        <v/>
      </c>
      <c r="AE23" s="312" t="str">
        <f t="shared" si="4"/>
        <v/>
      </c>
      <c r="AF23" s="313" t="str">
        <f t="shared" si="5"/>
        <v/>
      </c>
      <c r="AG23" s="149" t="str">
        <f t="shared" si="6"/>
        <v/>
      </c>
      <c r="AH23" s="61" t="str">
        <f>IF(T23="","",VLOOKUP(T23,'11. Lists'!$B$47:$D$49,3,FALSE))</f>
        <v/>
      </c>
      <c r="AI23" s="148" t="str">
        <f>IF(D23="","",VLOOKUP(D23,'10. Condition and Temporal'!$B$6:$L$103,4,FALSE))</f>
        <v/>
      </c>
    </row>
    <row r="24" spans="2:35" s="97" customFormat="1" ht="28.8" customHeight="1" x14ac:dyDescent="0.3">
      <c r="B24" s="286">
        <v>14</v>
      </c>
      <c r="C24" s="385" t="s">
        <v>237</v>
      </c>
      <c r="D24" s="733"/>
      <c r="E24" s="734"/>
      <c r="F24" s="813"/>
      <c r="G24" s="814"/>
      <c r="H24" s="815"/>
      <c r="I24" s="319"/>
      <c r="J24" s="320"/>
      <c r="K24" s="321"/>
      <c r="L24" s="25" t="str">
        <f t="shared" si="0"/>
        <v/>
      </c>
      <c r="M24" s="315" t="str">
        <f t="shared" si="1"/>
        <v/>
      </c>
      <c r="N24" s="23" t="str">
        <f t="shared" si="2"/>
        <v/>
      </c>
      <c r="O24" s="131"/>
      <c r="P24" s="81"/>
      <c r="R24" s="649"/>
      <c r="T24" s="785" t="str">
        <f>IF(D24="","",VLOOKUP(D24,'9. All Habitats + Multipliers'!$C$4:$K$102,5,FALSE))</f>
        <v/>
      </c>
      <c r="U24" s="786"/>
      <c r="V24" s="351" t="str">
        <f>IF(T24="","",VLOOKUP(T24,'11. Lists'!$S$47:$U$50,2,FALSE))</f>
        <v/>
      </c>
      <c r="W24" s="61" t="str">
        <f>IF(D24="","",VLOOKUP(D24,'10. Condition and Temporal'!$B$6:$C$103,2,FALSE))</f>
        <v/>
      </c>
      <c r="X24" s="148" t="str">
        <f>IF(W24="","",VLOOKUP(W24,'11. Lists'!$F$47:$G$51,2,FALSE))</f>
        <v/>
      </c>
      <c r="Y24" s="111"/>
      <c r="Z24" s="111"/>
      <c r="AA24" s="111"/>
      <c r="AB24" s="225" t="str">
        <f t="shared" si="3"/>
        <v/>
      </c>
      <c r="AC24" s="60" t="str">
        <f>IF(AB24="","",VLOOKUP(AB24,'11. Lists'!$F$36:$H$38,2,FALSE))</f>
        <v/>
      </c>
      <c r="AD24" s="148" t="str">
        <f>IF(AB24="","",VLOOKUP(AB24,'11. Lists'!$F$36:$H$38,3,FALSE))</f>
        <v/>
      </c>
      <c r="AE24" s="312" t="str">
        <f t="shared" si="4"/>
        <v/>
      </c>
      <c r="AF24" s="313" t="str">
        <f t="shared" si="5"/>
        <v/>
      </c>
      <c r="AG24" s="149" t="str">
        <f t="shared" si="6"/>
        <v/>
      </c>
      <c r="AH24" s="61" t="str">
        <f>IF(T24="","",VLOOKUP(T24,'11. Lists'!$B$47:$D$49,3,FALSE))</f>
        <v/>
      </c>
      <c r="AI24" s="148" t="str">
        <f>IF(D24="","",VLOOKUP(D24,'10. Condition and Temporal'!$B$6:$L$103,4,FALSE))</f>
        <v/>
      </c>
    </row>
    <row r="25" spans="2:35" s="97" customFormat="1" ht="28.8" customHeight="1" x14ac:dyDescent="0.3">
      <c r="B25" s="286">
        <v>15</v>
      </c>
      <c r="C25" s="385" t="s">
        <v>237</v>
      </c>
      <c r="D25" s="733"/>
      <c r="E25" s="734"/>
      <c r="F25" s="813"/>
      <c r="G25" s="814"/>
      <c r="H25" s="815"/>
      <c r="I25" s="319"/>
      <c r="J25" s="320"/>
      <c r="K25" s="321"/>
      <c r="L25" s="25" t="str">
        <f t="shared" si="0"/>
        <v/>
      </c>
      <c r="M25" s="315" t="str">
        <f t="shared" si="1"/>
        <v/>
      </c>
      <c r="N25" s="23" t="str">
        <f t="shared" si="2"/>
        <v/>
      </c>
      <c r="O25" s="131"/>
      <c r="P25" s="81"/>
      <c r="R25" s="649"/>
      <c r="T25" s="785" t="str">
        <f>IF(D25="","",VLOOKUP(D25,'9. All Habitats + Multipliers'!$C$4:$K$102,5,FALSE))</f>
        <v/>
      </c>
      <c r="U25" s="786"/>
      <c r="V25" s="351" t="str">
        <f>IF(T25="","",VLOOKUP(T25,'11. Lists'!$S$47:$U$50,2,FALSE))</f>
        <v/>
      </c>
      <c r="W25" s="61" t="str">
        <f>IF(D25="","",VLOOKUP(D25,'10. Condition and Temporal'!$B$6:$C$103,2,FALSE))</f>
        <v/>
      </c>
      <c r="X25" s="148" t="str">
        <f>IF(W25="","",VLOOKUP(W25,'11. Lists'!$F$47:$G$51,2,FALSE))</f>
        <v/>
      </c>
      <c r="Y25" s="111"/>
      <c r="Z25" s="111"/>
      <c r="AA25" s="111"/>
      <c r="AB25" s="225" t="str">
        <f t="shared" si="3"/>
        <v/>
      </c>
      <c r="AC25" s="60" t="str">
        <f>IF(AB25="","",VLOOKUP(AB25,'11. Lists'!$F$36:$H$38,2,FALSE))</f>
        <v/>
      </c>
      <c r="AD25" s="148" t="str">
        <f>IF(AB25="","",VLOOKUP(AB25,'11. Lists'!$F$36:$H$38,3,FALSE))</f>
        <v/>
      </c>
      <c r="AE25" s="312" t="str">
        <f t="shared" si="4"/>
        <v/>
      </c>
      <c r="AF25" s="313" t="str">
        <f t="shared" si="5"/>
        <v/>
      </c>
      <c r="AG25" s="149" t="str">
        <f t="shared" si="6"/>
        <v/>
      </c>
      <c r="AH25" s="61" t="str">
        <f>IF(T25="","",VLOOKUP(T25,'11. Lists'!$B$47:$D$49,3,FALSE))</f>
        <v/>
      </c>
      <c r="AI25" s="148" t="str">
        <f>IF(D25="","",VLOOKUP(D25,'10. Condition and Temporal'!$B$6:$L$103,4,FALSE))</f>
        <v/>
      </c>
    </row>
    <row r="26" spans="2:35" s="97" customFormat="1" ht="28.8" customHeight="1" x14ac:dyDescent="0.3">
      <c r="B26" s="286">
        <v>16</v>
      </c>
      <c r="C26" s="385" t="s">
        <v>237</v>
      </c>
      <c r="D26" s="733"/>
      <c r="E26" s="734"/>
      <c r="F26" s="813"/>
      <c r="G26" s="814"/>
      <c r="H26" s="815"/>
      <c r="I26" s="319"/>
      <c r="J26" s="320"/>
      <c r="K26" s="321"/>
      <c r="L26" s="25" t="str">
        <f t="shared" si="0"/>
        <v/>
      </c>
      <c r="M26" s="315" t="str">
        <f t="shared" si="1"/>
        <v/>
      </c>
      <c r="N26" s="23" t="str">
        <f t="shared" si="2"/>
        <v/>
      </c>
      <c r="O26" s="131"/>
      <c r="P26" s="81"/>
      <c r="R26" s="649"/>
      <c r="T26" s="785" t="str">
        <f>IF(D26="","",VLOOKUP(D26,'9. All Habitats + Multipliers'!$C$4:$K$102,5,FALSE))</f>
        <v/>
      </c>
      <c r="U26" s="786"/>
      <c r="V26" s="351" t="str">
        <f>IF(T26="","",VLOOKUP(T26,'11. Lists'!$S$47:$U$50,2,FALSE))</f>
        <v/>
      </c>
      <c r="W26" s="61" t="str">
        <f>IF(D26="","",VLOOKUP(D26,'10. Condition and Temporal'!$B$6:$C$103,2,FALSE))</f>
        <v/>
      </c>
      <c r="X26" s="148" t="str">
        <f>IF(W26="","",VLOOKUP(W26,'11. Lists'!$F$47:$G$51,2,FALSE))</f>
        <v/>
      </c>
      <c r="Y26" s="111"/>
      <c r="Z26" s="111"/>
      <c r="AA26" s="111"/>
      <c r="AB26" s="225" t="str">
        <f t="shared" si="3"/>
        <v/>
      </c>
      <c r="AC26" s="60" t="str">
        <f>IF(AB26="","",VLOOKUP(AB26,'11. Lists'!$F$36:$H$38,2,FALSE))</f>
        <v/>
      </c>
      <c r="AD26" s="148" t="str">
        <f>IF(AB26="","",VLOOKUP(AB26,'11. Lists'!$F$36:$H$38,3,FALSE))</f>
        <v/>
      </c>
      <c r="AE26" s="312" t="str">
        <f t="shared" si="4"/>
        <v/>
      </c>
      <c r="AF26" s="313" t="str">
        <f t="shared" si="5"/>
        <v/>
      </c>
      <c r="AG26" s="149" t="str">
        <f t="shared" si="6"/>
        <v/>
      </c>
      <c r="AH26" s="61" t="str">
        <f>IF(T26="","",VLOOKUP(T26,'11. Lists'!$B$47:$D$49,3,FALSE))</f>
        <v/>
      </c>
      <c r="AI26" s="148" t="str">
        <f>IF(D26="","",VLOOKUP(D26,'10. Condition and Temporal'!$B$6:$L$103,4,FALSE))</f>
        <v/>
      </c>
    </row>
    <row r="27" spans="2:35" s="97" customFormat="1" ht="28.8" customHeight="1" x14ac:dyDescent="0.3">
      <c r="B27" s="286">
        <v>17</v>
      </c>
      <c r="C27" s="385" t="s">
        <v>237</v>
      </c>
      <c r="D27" s="733"/>
      <c r="E27" s="734"/>
      <c r="F27" s="813"/>
      <c r="G27" s="814"/>
      <c r="H27" s="815"/>
      <c r="I27" s="319"/>
      <c r="J27" s="320"/>
      <c r="K27" s="321"/>
      <c r="L27" s="25" t="str">
        <f t="shared" si="0"/>
        <v/>
      </c>
      <c r="M27" s="315" t="str">
        <f t="shared" si="1"/>
        <v/>
      </c>
      <c r="N27" s="23" t="str">
        <f t="shared" si="2"/>
        <v/>
      </c>
      <c r="O27" s="131"/>
      <c r="P27" s="81"/>
      <c r="R27" s="649"/>
      <c r="T27" s="785" t="str">
        <f>IF(D27="","",VLOOKUP(D27,'9. All Habitats + Multipliers'!$C$4:$K$102,5,FALSE))</f>
        <v/>
      </c>
      <c r="U27" s="786"/>
      <c r="V27" s="351" t="str">
        <f>IF(T27="","",VLOOKUP(T27,'11. Lists'!$S$47:$U$50,2,FALSE))</f>
        <v/>
      </c>
      <c r="W27" s="61" t="str">
        <f>IF(D27="","",VLOOKUP(D27,'10. Condition and Temporal'!$B$6:$C$103,2,FALSE))</f>
        <v/>
      </c>
      <c r="X27" s="148" t="str">
        <f>IF(W27="","",VLOOKUP(W27,'11. Lists'!$F$47:$G$51,2,FALSE))</f>
        <v/>
      </c>
      <c r="Y27" s="111"/>
      <c r="Z27" s="111"/>
      <c r="AA27" s="111"/>
      <c r="AB27" s="225" t="str">
        <f t="shared" si="3"/>
        <v/>
      </c>
      <c r="AC27" s="60" t="str">
        <f>IF(AB27="","",VLOOKUP(AB27,'11. Lists'!$F$36:$H$38,2,FALSE))</f>
        <v/>
      </c>
      <c r="AD27" s="148" t="str">
        <f>IF(AB27="","",VLOOKUP(AB27,'11. Lists'!$F$36:$H$38,3,FALSE))</f>
        <v/>
      </c>
      <c r="AE27" s="312" t="str">
        <f t="shared" si="4"/>
        <v/>
      </c>
      <c r="AF27" s="313" t="str">
        <f t="shared" si="5"/>
        <v/>
      </c>
      <c r="AG27" s="149" t="str">
        <f t="shared" si="6"/>
        <v/>
      </c>
      <c r="AH27" s="61" t="str">
        <f>IF(T27="","",VLOOKUP(T27,'11. Lists'!$B$47:$D$49,3,FALSE))</f>
        <v/>
      </c>
      <c r="AI27" s="148" t="str">
        <f>IF(D27="","",VLOOKUP(D27,'10. Condition and Temporal'!$B$6:$L$103,4,FALSE))</f>
        <v/>
      </c>
    </row>
    <row r="28" spans="2:35" s="97" customFormat="1" ht="28.8" customHeight="1" x14ac:dyDescent="0.3">
      <c r="B28" s="286">
        <v>18</v>
      </c>
      <c r="C28" s="385" t="s">
        <v>237</v>
      </c>
      <c r="D28" s="733"/>
      <c r="E28" s="734"/>
      <c r="F28" s="813"/>
      <c r="G28" s="814"/>
      <c r="H28" s="815"/>
      <c r="I28" s="319"/>
      <c r="J28" s="320"/>
      <c r="K28" s="321"/>
      <c r="L28" s="25" t="str">
        <f t="shared" si="0"/>
        <v/>
      </c>
      <c r="M28" s="315" t="str">
        <f t="shared" si="1"/>
        <v/>
      </c>
      <c r="N28" s="23" t="str">
        <f t="shared" si="2"/>
        <v/>
      </c>
      <c r="O28" s="131"/>
      <c r="P28" s="81"/>
      <c r="R28" s="649"/>
      <c r="T28" s="785" t="str">
        <f>IF(D28="","",VLOOKUP(D28,'9. All Habitats + Multipliers'!$C$4:$K$102,5,FALSE))</f>
        <v/>
      </c>
      <c r="U28" s="786"/>
      <c r="V28" s="351" t="str">
        <f>IF(T28="","",VLOOKUP(T28,'11. Lists'!$S$47:$U$50,2,FALSE))</f>
        <v/>
      </c>
      <c r="W28" s="61" t="str">
        <f>IF(D28="","",VLOOKUP(D28,'10. Condition and Temporal'!$B$6:$C$103,2,FALSE))</f>
        <v/>
      </c>
      <c r="X28" s="148" t="str">
        <f>IF(W28="","",VLOOKUP(W28,'11. Lists'!$F$47:$G$51,2,FALSE))</f>
        <v/>
      </c>
      <c r="Y28" s="111"/>
      <c r="Z28" s="111"/>
      <c r="AA28" s="111"/>
      <c r="AB28" s="225" t="str">
        <f t="shared" si="3"/>
        <v/>
      </c>
      <c r="AC28" s="60" t="str">
        <f>IF(AB28="","",VLOOKUP(AB28,'11. Lists'!$F$36:$H$38,2,FALSE))</f>
        <v/>
      </c>
      <c r="AD28" s="148" t="str">
        <f>IF(AB28="","",VLOOKUP(AB28,'11. Lists'!$F$36:$H$38,3,FALSE))</f>
        <v/>
      </c>
      <c r="AE28" s="312" t="str">
        <f t="shared" si="4"/>
        <v/>
      </c>
      <c r="AF28" s="313" t="str">
        <f t="shared" si="5"/>
        <v/>
      </c>
      <c r="AG28" s="149" t="str">
        <f t="shared" si="6"/>
        <v/>
      </c>
      <c r="AH28" s="61" t="str">
        <f>IF(T28="","",VLOOKUP(T28,'11. Lists'!$B$47:$D$49,3,FALSE))</f>
        <v/>
      </c>
      <c r="AI28" s="148" t="str">
        <f>IF(D28="","",VLOOKUP(D28,'10. Condition and Temporal'!$B$6:$L$103,4,FALSE))</f>
        <v/>
      </c>
    </row>
    <row r="29" spans="2:35" s="97" customFormat="1" ht="28.8" customHeight="1" x14ac:dyDescent="0.3">
      <c r="B29" s="286">
        <v>19</v>
      </c>
      <c r="C29" s="387" t="s">
        <v>237</v>
      </c>
      <c r="D29" s="733"/>
      <c r="E29" s="734"/>
      <c r="F29" s="813"/>
      <c r="G29" s="814"/>
      <c r="H29" s="815"/>
      <c r="I29" s="319"/>
      <c r="J29" s="320"/>
      <c r="K29" s="321"/>
      <c r="L29" s="25" t="str">
        <f t="shared" si="0"/>
        <v/>
      </c>
      <c r="M29" s="315" t="str">
        <f t="shared" si="1"/>
        <v/>
      </c>
      <c r="N29" s="23" t="str">
        <f t="shared" si="2"/>
        <v/>
      </c>
      <c r="O29" s="131"/>
      <c r="P29" s="81"/>
      <c r="R29" s="649"/>
      <c r="T29" s="785" t="str">
        <f>IF(D29="","",VLOOKUP(D29,'9. All Habitats + Multipliers'!$C$4:$K$102,5,FALSE))</f>
        <v/>
      </c>
      <c r="U29" s="786"/>
      <c r="V29" s="351" t="str">
        <f>IF(T29="","",VLOOKUP(T29,'11. Lists'!$S$47:$U$50,2,FALSE))</f>
        <v/>
      </c>
      <c r="W29" s="61" t="str">
        <f>IF(D29="","",VLOOKUP(D29,'10. Condition and Temporal'!$B$6:$C$103,2,FALSE))</f>
        <v/>
      </c>
      <c r="X29" s="148" t="str">
        <f>IF(W29="","",VLOOKUP(W29,'11. Lists'!$F$47:$G$51,2,FALSE))</f>
        <v/>
      </c>
      <c r="Y29" s="111"/>
      <c r="Z29" s="111"/>
      <c r="AA29" s="111"/>
      <c r="AB29" s="225" t="str">
        <f t="shared" si="3"/>
        <v/>
      </c>
      <c r="AC29" s="60" t="str">
        <f>IF(AB29="","",VLOOKUP(AB29,'11. Lists'!$F$36:$H$38,2,FALSE))</f>
        <v/>
      </c>
      <c r="AD29" s="148" t="str">
        <f>IF(AB29="","",VLOOKUP(AB29,'11. Lists'!$F$36:$H$38,3,FALSE))</f>
        <v/>
      </c>
      <c r="AE29" s="312" t="str">
        <f t="shared" si="4"/>
        <v/>
      </c>
      <c r="AF29" s="313" t="str">
        <f t="shared" si="5"/>
        <v/>
      </c>
      <c r="AG29" s="149" t="str">
        <f t="shared" si="6"/>
        <v/>
      </c>
      <c r="AH29" s="61" t="str">
        <f>IF(T29="","",VLOOKUP(T29,'11. Lists'!$B$47:$D$49,3,FALSE))</f>
        <v/>
      </c>
      <c r="AI29" s="148" t="str">
        <f>IF(D29="","",VLOOKUP(D29,'10. Condition and Temporal'!$B$6:$L$103,4,FALSE))</f>
        <v/>
      </c>
    </row>
    <row r="30" spans="2:35" s="97" customFormat="1" ht="29.55" customHeight="1" x14ac:dyDescent="0.3">
      <c r="B30" s="287">
        <v>20</v>
      </c>
      <c r="C30" s="388" t="s">
        <v>237</v>
      </c>
      <c r="D30" s="739"/>
      <c r="E30" s="740"/>
      <c r="F30" s="905"/>
      <c r="G30" s="906"/>
      <c r="H30" s="907"/>
      <c r="I30" s="322"/>
      <c r="J30" s="323"/>
      <c r="K30" s="324"/>
      <c r="L30" s="20" t="str">
        <f t="shared" si="0"/>
        <v/>
      </c>
      <c r="M30" s="329" t="str">
        <f t="shared" si="1"/>
        <v/>
      </c>
      <c r="N30" s="18" t="str">
        <f t="shared" si="2"/>
        <v/>
      </c>
      <c r="O30" s="132"/>
      <c r="P30" s="78"/>
      <c r="R30" s="649"/>
      <c r="T30" s="785" t="str">
        <f>IF(D30="","",VLOOKUP(D30,'9. All Habitats + Multipliers'!$C$4:$K$102,5,FALSE))</f>
        <v/>
      </c>
      <c r="U30" s="786"/>
      <c r="V30" s="351" t="str">
        <f>IF(T30="","",VLOOKUP(T30,'11. Lists'!$S$47:$U$50,2,FALSE))</f>
        <v/>
      </c>
      <c r="W30" s="57" t="str">
        <f>IF(D30="","",VLOOKUP(D30,'10. Condition and Temporal'!$B$6:$C$103,2,FALSE))</f>
        <v/>
      </c>
      <c r="X30" s="151" t="str">
        <f>IF(W30="","",VLOOKUP(W30,'11. Lists'!$F$47:$G$51,2,FALSE))</f>
        <v/>
      </c>
      <c r="Y30" s="111"/>
      <c r="Z30" s="111"/>
      <c r="AA30" s="111"/>
      <c r="AB30" s="225" t="str">
        <f t="shared" si="3"/>
        <v/>
      </c>
      <c r="AC30" s="60" t="str">
        <f>IF(AB30="","",VLOOKUP(AB30,'11. Lists'!$F$36:$H$38,2,FALSE))</f>
        <v/>
      </c>
      <c r="AD30" s="148" t="str">
        <f>IF(AB30="","",VLOOKUP(AB30,'11. Lists'!$F$36:$H$38,3,FALSE))</f>
        <v/>
      </c>
      <c r="AE30" s="312" t="str">
        <f t="shared" si="4"/>
        <v/>
      </c>
      <c r="AF30" s="313" t="str">
        <f t="shared" si="5"/>
        <v/>
      </c>
      <c r="AG30" s="149" t="str">
        <f t="shared" si="6"/>
        <v/>
      </c>
      <c r="AH30" s="61" t="str">
        <f>IF(T30="","",VLOOKUP(T30,'11. Lists'!$B$47:$D$49,3,FALSE))</f>
        <v/>
      </c>
      <c r="AI30" s="148" t="str">
        <f>IF(D30="","",VLOOKUP(D30,'10. Condition and Temporal'!$B$6:$L$103,4,FALSE))</f>
        <v/>
      </c>
    </row>
    <row r="31" spans="2:35" s="97" customFormat="1" x14ac:dyDescent="0.3">
      <c r="D31" s="147"/>
      <c r="E31" s="32"/>
      <c r="F31" s="32"/>
      <c r="G31" s="32"/>
      <c r="H31" s="293" t="s">
        <v>238</v>
      </c>
      <c r="I31" s="325">
        <f t="shared" ref="I31:N31" si="7">SUM(I11:I30)</f>
        <v>0</v>
      </c>
      <c r="J31" s="326">
        <f t="shared" si="7"/>
        <v>0</v>
      </c>
      <c r="K31" s="327">
        <f t="shared" si="7"/>
        <v>0</v>
      </c>
      <c r="L31" s="301">
        <f t="shared" si="7"/>
        <v>0</v>
      </c>
      <c r="M31" s="333">
        <f t="shared" si="7"/>
        <v>0</v>
      </c>
      <c r="N31" s="302">
        <f t="shared" si="7"/>
        <v>0</v>
      </c>
      <c r="R31" s="649"/>
    </row>
    <row r="32" spans="2:35" s="97" customFormat="1" x14ac:dyDescent="0.3">
      <c r="D32" s="147"/>
      <c r="E32" s="32"/>
      <c r="F32" s="32"/>
      <c r="G32" s="32"/>
      <c r="H32" s="310" t="s">
        <v>108</v>
      </c>
      <c r="I32" s="908" t="str">
        <f>IF(I31&lt;J31+K31,"Error - Lengths Retained and Enhanced Exceed Total Length ▲","Lengths Acceptable ✓")</f>
        <v>Lengths Acceptable ✓</v>
      </c>
      <c r="J32" s="908"/>
      <c r="K32" s="908"/>
      <c r="L32" s="908"/>
      <c r="M32" s="908"/>
      <c r="N32" s="909"/>
      <c r="O32" s="200">
        <f>IFERROR(FIND("Error",I32),0)</f>
        <v>0</v>
      </c>
      <c r="R32" s="72"/>
    </row>
    <row r="33" spans="2:34" s="97" customFormat="1" ht="15" customHeight="1" x14ac:dyDescent="0.3">
      <c r="D33" s="147"/>
      <c r="E33" s="32"/>
      <c r="F33" s="32"/>
      <c r="G33" s="32"/>
      <c r="H33" s="294" t="s">
        <v>109</v>
      </c>
      <c r="I33" s="890" t="str">
        <f>IF(I31&lt;5000,"Lengths Acceptable ✓",IF(I31&gt;=5000,"Length Exceeds Length Appropriate for Small Sites Metric ▲"))</f>
        <v>Lengths Acceptable ✓</v>
      </c>
      <c r="J33" s="890"/>
      <c r="K33" s="890"/>
      <c r="L33" s="890"/>
      <c r="M33" s="890"/>
      <c r="N33" s="891"/>
      <c r="O33" s="200">
        <f>COUNTIF(L11:N30,"*"&amp;"error"&amp;"*")</f>
        <v>0</v>
      </c>
      <c r="R33" s="72"/>
    </row>
    <row r="34" spans="2:34" s="97" customFormat="1" x14ac:dyDescent="0.3">
      <c r="D34" s="147"/>
      <c r="E34" s="32"/>
      <c r="F34" s="32"/>
      <c r="G34" s="32"/>
      <c r="H34" s="32"/>
      <c r="I34" s="32"/>
      <c r="J34" s="32"/>
      <c r="K34" s="32"/>
      <c r="L34" s="32"/>
      <c r="M34" s="32"/>
      <c r="N34" s="32"/>
      <c r="O34" s="32"/>
      <c r="R34" s="649" t="s">
        <v>66</v>
      </c>
    </row>
    <row r="35" spans="2:34" s="97" customFormat="1" ht="21" customHeight="1" x14ac:dyDescent="0.4">
      <c r="B35" s="119" t="s">
        <v>111</v>
      </c>
      <c r="D35" s="146"/>
      <c r="E35" s="32"/>
      <c r="F35" s="32"/>
      <c r="G35" s="32"/>
      <c r="I35" s="98"/>
      <c r="R35" s="649"/>
    </row>
    <row r="36" spans="2:34" s="97" customFormat="1" ht="15.75" customHeight="1" x14ac:dyDescent="0.3">
      <c r="R36" s="649"/>
    </row>
    <row r="37" spans="2:34" s="97" customFormat="1" ht="16.2" customHeight="1" x14ac:dyDescent="0.3">
      <c r="B37" s="804" t="s">
        <v>59</v>
      </c>
      <c r="C37" s="766"/>
      <c r="D37" s="805"/>
      <c r="E37" s="765" t="s">
        <v>112</v>
      </c>
      <c r="F37" s="806"/>
      <c r="G37" s="767"/>
      <c r="H37" s="806" t="s">
        <v>113</v>
      </c>
      <c r="I37" s="715" t="s">
        <v>239</v>
      </c>
      <c r="J37" s="807"/>
      <c r="K37" s="716"/>
      <c r="L37" s="765" t="s">
        <v>240</v>
      </c>
      <c r="M37" s="766"/>
      <c r="N37" s="767"/>
      <c r="O37" s="809" t="s">
        <v>79</v>
      </c>
      <c r="P37" s="767"/>
      <c r="R37" s="649"/>
      <c r="T37" s="763" t="s">
        <v>80</v>
      </c>
      <c r="U37" s="773"/>
      <c r="V37" s="899"/>
      <c r="W37" s="763" t="s">
        <v>81</v>
      </c>
      <c r="X37" s="764"/>
      <c r="Y37" s="797"/>
      <c r="Z37" s="797"/>
      <c r="AA37" s="797"/>
      <c r="AB37" s="796" t="s">
        <v>82</v>
      </c>
      <c r="AC37" s="773"/>
      <c r="AD37" s="764"/>
      <c r="AE37" s="763" t="s">
        <v>116</v>
      </c>
      <c r="AF37" s="764"/>
      <c r="AG37" s="763" t="s">
        <v>117</v>
      </c>
      <c r="AH37" s="764"/>
    </row>
    <row r="38" spans="2:34" s="97" customFormat="1" ht="31.8" customHeight="1" x14ac:dyDescent="0.3">
      <c r="B38" s="728"/>
      <c r="C38" s="54" t="s">
        <v>86</v>
      </c>
      <c r="D38" s="53" t="s">
        <v>118</v>
      </c>
      <c r="E38" s="144" t="s">
        <v>119</v>
      </c>
      <c r="F38" s="731" t="s">
        <v>120</v>
      </c>
      <c r="G38" s="732"/>
      <c r="H38" s="729"/>
      <c r="I38" s="717"/>
      <c r="J38" s="808"/>
      <c r="K38" s="718"/>
      <c r="L38" s="910"/>
      <c r="M38" s="911"/>
      <c r="N38" s="912"/>
      <c r="O38" s="55" t="s">
        <v>94</v>
      </c>
      <c r="P38" s="42" t="s">
        <v>95</v>
      </c>
      <c r="R38" s="649"/>
      <c r="T38" s="798" t="s">
        <v>96</v>
      </c>
      <c r="U38" s="799"/>
      <c r="V38" s="28" t="s">
        <v>97</v>
      </c>
      <c r="W38" s="65" t="s">
        <v>98</v>
      </c>
      <c r="X38" s="43" t="s">
        <v>97</v>
      </c>
      <c r="Y38" s="66"/>
      <c r="Z38" s="66"/>
      <c r="AA38" s="66"/>
      <c r="AB38" s="8" t="s">
        <v>82</v>
      </c>
      <c r="AC38" s="64" t="s">
        <v>82</v>
      </c>
      <c r="AD38" s="43" t="s">
        <v>99</v>
      </c>
      <c r="AE38" s="65" t="s">
        <v>121</v>
      </c>
      <c r="AF38" s="43" t="s">
        <v>122</v>
      </c>
      <c r="AG38" s="65" t="s">
        <v>123</v>
      </c>
      <c r="AH38" s="43" t="s">
        <v>124</v>
      </c>
    </row>
    <row r="39" spans="2:34" s="97" customFormat="1" ht="28.8" customHeight="1" x14ac:dyDescent="0.3">
      <c r="B39" s="285">
        <v>1</v>
      </c>
      <c r="C39" s="385" t="s">
        <v>237</v>
      </c>
      <c r="D39" s="63"/>
      <c r="E39" s="154" t="str">
        <f>IF(D39="","",VLOOKUP(D39,'10. Condition and Temporal'!$B$6:$D$103,3,FALSE))</f>
        <v/>
      </c>
      <c r="F39" s="900"/>
      <c r="G39" s="901"/>
      <c r="H39" s="62"/>
      <c r="I39" s="780"/>
      <c r="J39" s="781"/>
      <c r="K39" s="781"/>
      <c r="L39" s="902" t="str">
        <f t="shared" ref="L39:L58" si="8">IF(D39="","",IFERROR(IF(I39="","",((I39/1000)*(V39*X39))*(AH39*AF39)*AD39),"This intervention is not permitted within the SSM ▲"))</f>
        <v/>
      </c>
      <c r="M39" s="903"/>
      <c r="N39" s="904"/>
      <c r="O39" s="240"/>
      <c r="P39" s="75"/>
      <c r="Q39" s="155"/>
      <c r="R39" s="649"/>
      <c r="T39" s="785" t="str">
        <f>IF(D39="","",VLOOKUP(D39,'9. All Habitats + Multipliers'!$C$4:$K$102,5,FALSE))</f>
        <v/>
      </c>
      <c r="U39" s="786"/>
      <c r="V39" s="351" t="str">
        <f>IF(T39="","",VLOOKUP(T39,'11. Lists'!$S$47:$U$50,2,FALSE))</f>
        <v/>
      </c>
      <c r="W39" s="61" t="str">
        <f t="shared" ref="W39:W58" si="9">IF(F39="","",F39)</f>
        <v/>
      </c>
      <c r="X39" s="148" t="str">
        <f>IF(W39="","",VLOOKUP(W39,'11. Lists'!$F$47:$G$51,2,FALSE))</f>
        <v/>
      </c>
      <c r="Y39" s="111"/>
      <c r="Z39" s="111"/>
      <c r="AA39" s="111"/>
      <c r="AB39" s="225" t="str">
        <f t="shared" ref="AB39:AB58" si="10">IF(H39="","",H39)</f>
        <v/>
      </c>
      <c r="AC39" s="60" t="str">
        <f>IF(AB39="","",VLOOKUP(AB39,'11. Lists'!$F$36:$H$38,2,FALSE))</f>
        <v/>
      </c>
      <c r="AD39" s="148" t="str">
        <f>IF(AB39="","",VLOOKUP(AB39,'11. Lists'!$F$36:$H$38,3,FALSE))</f>
        <v/>
      </c>
      <c r="AE39" s="61"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156" t="str">
        <f>IF(AE39="","",VLOOKUP(AE39,'11. Lists'!$I$47:$K$80,3,FALSE))</f>
        <v/>
      </c>
      <c r="AG39" s="61" t="str">
        <f>IF(D39="","",VLOOKUP(D39,'9. All Habitats + Multipliers'!$C$4:$K$102,7,FALSE))</f>
        <v/>
      </c>
      <c r="AH39" s="148" t="str">
        <f>IF(AG39="","",VLOOKUP(AG39,'11. Lists'!$J$35:$K$38,2,FALSE))</f>
        <v/>
      </c>
    </row>
    <row r="40" spans="2:34" s="97" customFormat="1" ht="28.8" customHeight="1" x14ac:dyDescent="0.3">
      <c r="B40" s="286">
        <v>2</v>
      </c>
      <c r="C40" s="385" t="s">
        <v>237</v>
      </c>
      <c r="D40" s="63"/>
      <c r="E40" s="154" t="str">
        <f>IF(D40="","",VLOOKUP(D40,'10. Condition and Temporal'!$B$6:$D$103,3,FALSE))</f>
        <v/>
      </c>
      <c r="F40" s="894"/>
      <c r="G40" s="895"/>
      <c r="H40" s="39"/>
      <c r="I40" s="780"/>
      <c r="J40" s="781"/>
      <c r="K40" s="781"/>
      <c r="L40" s="896" t="str">
        <f t="shared" si="8"/>
        <v/>
      </c>
      <c r="M40" s="897"/>
      <c r="N40" s="898"/>
      <c r="O40" s="133"/>
      <c r="P40" s="85"/>
      <c r="Q40" s="155"/>
      <c r="R40" s="649"/>
      <c r="T40" s="785" t="str">
        <f>IF(D40="","",VLOOKUP(D40,'9. All Habitats + Multipliers'!$C$4:$K$102,5,FALSE))</f>
        <v/>
      </c>
      <c r="U40" s="786"/>
      <c r="V40" s="351" t="str">
        <f>IF(T40="","",VLOOKUP(T40,'11. Lists'!$S$47:$U$50,2,FALSE))</f>
        <v/>
      </c>
      <c r="W40" s="61" t="str">
        <f t="shared" si="9"/>
        <v/>
      </c>
      <c r="X40" s="148" t="str">
        <f>IF(W40="","",VLOOKUP(W40,'11. Lists'!$F$47:$G$51,2,FALSE))</f>
        <v/>
      </c>
      <c r="Y40" s="111"/>
      <c r="Z40" s="111"/>
      <c r="AA40" s="111"/>
      <c r="AB40" s="225" t="str">
        <f t="shared" si="10"/>
        <v/>
      </c>
      <c r="AC40" s="60" t="str">
        <f>IF(AB40="","",VLOOKUP(AB40,'11. Lists'!$F$36:$H$38,2,FALSE))</f>
        <v/>
      </c>
      <c r="AD40" s="148" t="str">
        <f>IF(AB40="","",VLOOKUP(AB40,'11. Lists'!$F$36:$H$38,3,FALSE))</f>
        <v/>
      </c>
      <c r="AE40" s="61"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56" t="str">
        <f>IF(AE40="","",VLOOKUP(AE40,'11. Lists'!$I$47:$K$80,3,FALSE))</f>
        <v/>
      </c>
      <c r="AG40" s="61" t="str">
        <f>IF(D40="","",VLOOKUP(D40,'9. All Habitats + Multipliers'!$C$4:$K$102,7,FALSE))</f>
        <v/>
      </c>
      <c r="AH40" s="148" t="str">
        <f>IF(AG40="","",VLOOKUP(AG40,'11. Lists'!$J$35:$K$38,2,FALSE))</f>
        <v/>
      </c>
    </row>
    <row r="41" spans="2:34" s="97" customFormat="1" ht="28.8" customHeight="1" x14ac:dyDescent="0.3">
      <c r="B41" s="286">
        <v>3</v>
      </c>
      <c r="C41" s="385" t="s">
        <v>237</v>
      </c>
      <c r="D41" s="63"/>
      <c r="E41" s="154" t="str">
        <f>IF(D41="","",VLOOKUP(D41,'10. Condition and Temporal'!$B$6:$D$103,3,FALSE))</f>
        <v/>
      </c>
      <c r="F41" s="894"/>
      <c r="G41" s="895"/>
      <c r="H41" s="39"/>
      <c r="I41" s="780"/>
      <c r="J41" s="781"/>
      <c r="K41" s="781"/>
      <c r="L41" s="896" t="str">
        <f t="shared" si="8"/>
        <v/>
      </c>
      <c r="M41" s="897"/>
      <c r="N41" s="898"/>
      <c r="O41" s="133"/>
      <c r="P41" s="85"/>
      <c r="Q41" s="155"/>
      <c r="R41" s="649"/>
      <c r="T41" s="785" t="str">
        <f>IF(D41="","",VLOOKUP(D41,'9. All Habitats + Multipliers'!$C$4:$K$102,5,FALSE))</f>
        <v/>
      </c>
      <c r="U41" s="786"/>
      <c r="V41" s="351" t="str">
        <f>IF(T41="","",VLOOKUP(T41,'11. Lists'!$S$47:$U$50,2,FALSE))</f>
        <v/>
      </c>
      <c r="W41" s="61" t="str">
        <f t="shared" si="9"/>
        <v/>
      </c>
      <c r="X41" s="148" t="str">
        <f>IF(W41="","",VLOOKUP(W41,'11. Lists'!$F$47:$G$51,2,FALSE))</f>
        <v/>
      </c>
      <c r="Y41" s="111"/>
      <c r="Z41" s="111"/>
      <c r="AA41" s="111"/>
      <c r="AB41" s="225" t="str">
        <f t="shared" si="10"/>
        <v/>
      </c>
      <c r="AC41" s="60" t="str">
        <f>IF(AB41="","",VLOOKUP(AB41,'11. Lists'!$F$36:$H$38,2,FALSE))</f>
        <v/>
      </c>
      <c r="AD41" s="148" t="str">
        <f>IF(AB41="","",VLOOKUP(AB41,'11. Lists'!$F$36:$H$38,3,FALSE))</f>
        <v/>
      </c>
      <c r="AE41" s="61"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56" t="str">
        <f>IF(AE41="","",VLOOKUP(AE41,'11. Lists'!$I$47:$K$80,3,FALSE))</f>
        <v/>
      </c>
      <c r="AG41" s="61" t="str">
        <f>IF(D41="","",VLOOKUP(D41,'9. All Habitats + Multipliers'!$C$4:$K$102,7,FALSE))</f>
        <v/>
      </c>
      <c r="AH41" s="148" t="str">
        <f>IF(AG41="","",VLOOKUP(AG41,'11. Lists'!$J$35:$K$38,2,FALSE))</f>
        <v/>
      </c>
    </row>
    <row r="42" spans="2:34" s="97" customFormat="1" ht="28.8" customHeight="1" x14ac:dyDescent="0.3">
      <c r="B42" s="286">
        <v>4</v>
      </c>
      <c r="C42" s="385" t="s">
        <v>237</v>
      </c>
      <c r="D42" s="63"/>
      <c r="E42" s="154" t="str">
        <f>IF(D42="","",VLOOKUP(D42,'10. Condition and Temporal'!$B$6:$D$103,3,FALSE))</f>
        <v/>
      </c>
      <c r="F42" s="894"/>
      <c r="G42" s="895"/>
      <c r="H42" s="39"/>
      <c r="I42" s="780"/>
      <c r="J42" s="781"/>
      <c r="K42" s="781"/>
      <c r="L42" s="896" t="str">
        <f t="shared" si="8"/>
        <v/>
      </c>
      <c r="M42" s="897"/>
      <c r="N42" s="898"/>
      <c r="O42" s="133"/>
      <c r="P42" s="85"/>
      <c r="Q42" s="155"/>
      <c r="R42" s="649"/>
      <c r="T42" s="785" t="str">
        <f>IF(D42="","",VLOOKUP(D42,'9. All Habitats + Multipliers'!$C$4:$K$102,5,FALSE))</f>
        <v/>
      </c>
      <c r="U42" s="786"/>
      <c r="V42" s="351" t="str">
        <f>IF(T42="","",VLOOKUP(T42,'11. Lists'!$S$47:$U$50,2,FALSE))</f>
        <v/>
      </c>
      <c r="W42" s="61" t="str">
        <f t="shared" si="9"/>
        <v/>
      </c>
      <c r="X42" s="148" t="str">
        <f>IF(W42="","",VLOOKUP(W42,'11. Lists'!$F$47:$G$51,2,FALSE))</f>
        <v/>
      </c>
      <c r="Y42" s="111"/>
      <c r="Z42" s="111"/>
      <c r="AA42" s="111"/>
      <c r="AB42" s="225" t="str">
        <f t="shared" si="10"/>
        <v/>
      </c>
      <c r="AC42" s="60" t="str">
        <f>IF(AB42="","",VLOOKUP(AB42,'11. Lists'!$F$36:$H$38,2,FALSE))</f>
        <v/>
      </c>
      <c r="AD42" s="148" t="str">
        <f>IF(AB42="","",VLOOKUP(AB42,'11. Lists'!$F$36:$H$38,3,FALSE))</f>
        <v/>
      </c>
      <c r="AE42" s="61"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56" t="str">
        <f>IF(AE42="","",VLOOKUP(AE42,'11. Lists'!$I$47:$K$80,3,FALSE))</f>
        <v/>
      </c>
      <c r="AG42" s="61" t="str">
        <f>IF(D42="","",VLOOKUP(D42,'9. All Habitats + Multipliers'!$C$4:$K$102,7,FALSE))</f>
        <v/>
      </c>
      <c r="AH42" s="148" t="str">
        <f>IF(AG42="","",VLOOKUP(AG42,'11. Lists'!$J$35:$K$38,2,FALSE))</f>
        <v/>
      </c>
    </row>
    <row r="43" spans="2:34" s="97" customFormat="1" ht="28.8" customHeight="1" x14ac:dyDescent="0.3">
      <c r="B43" s="286">
        <v>5</v>
      </c>
      <c r="C43" s="385" t="s">
        <v>237</v>
      </c>
      <c r="D43" s="63"/>
      <c r="E43" s="154" t="str">
        <f>IF(D43="","",VLOOKUP(D43,'10. Condition and Temporal'!$B$6:$D$103,3,FALSE))</f>
        <v/>
      </c>
      <c r="F43" s="894"/>
      <c r="G43" s="895"/>
      <c r="H43" s="39"/>
      <c r="I43" s="780"/>
      <c r="J43" s="781"/>
      <c r="K43" s="781"/>
      <c r="L43" s="896" t="str">
        <f t="shared" si="8"/>
        <v/>
      </c>
      <c r="M43" s="897"/>
      <c r="N43" s="898"/>
      <c r="O43" s="133"/>
      <c r="P43" s="85"/>
      <c r="R43" s="649"/>
      <c r="T43" s="785" t="str">
        <f>IF(D43="","",VLOOKUP(D43,'9. All Habitats + Multipliers'!$C$4:$K$102,5,FALSE))</f>
        <v/>
      </c>
      <c r="U43" s="786"/>
      <c r="V43" s="351" t="str">
        <f>IF(T43="","",VLOOKUP(T43,'11. Lists'!$S$47:$U$50,2,FALSE))</f>
        <v/>
      </c>
      <c r="W43" s="61" t="str">
        <f t="shared" si="9"/>
        <v/>
      </c>
      <c r="X43" s="148" t="str">
        <f>IF(W43="","",VLOOKUP(W43,'11. Lists'!$F$47:$G$51,2,FALSE))</f>
        <v/>
      </c>
      <c r="Y43" s="111"/>
      <c r="Z43" s="111"/>
      <c r="AA43" s="111"/>
      <c r="AB43" s="225" t="str">
        <f t="shared" si="10"/>
        <v/>
      </c>
      <c r="AC43" s="60" t="str">
        <f>IF(AB43="","",VLOOKUP(AB43,'11. Lists'!$F$36:$H$38,2,FALSE))</f>
        <v/>
      </c>
      <c r="AD43" s="148" t="str">
        <f>IF(AB43="","",VLOOKUP(AB43,'11. Lists'!$F$36:$H$38,3,FALSE))</f>
        <v/>
      </c>
      <c r="AE43" s="61"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56" t="str">
        <f>IF(AE43="","",VLOOKUP(AE43,'11. Lists'!$I$47:$K$80,3,FALSE))</f>
        <v/>
      </c>
      <c r="AG43" s="61" t="str">
        <f>IF(D43="","",VLOOKUP(D43,'9. All Habitats + Multipliers'!$C$4:$K$102,7,FALSE))</f>
        <v/>
      </c>
      <c r="AH43" s="148" t="str">
        <f>IF(AG43="","",VLOOKUP(AG43,'11. Lists'!$J$35:$K$38,2,FALSE))</f>
        <v/>
      </c>
    </row>
    <row r="44" spans="2:34" s="97" customFormat="1" ht="28.8" customHeight="1" x14ac:dyDescent="0.3">
      <c r="B44" s="286">
        <v>6</v>
      </c>
      <c r="C44" s="385" t="s">
        <v>237</v>
      </c>
      <c r="D44" s="63"/>
      <c r="E44" s="154" t="str">
        <f>IF(D44="","",VLOOKUP(D44,'10. Condition and Temporal'!$B$6:$D$103,3,FALSE))</f>
        <v/>
      </c>
      <c r="F44" s="894"/>
      <c r="G44" s="895"/>
      <c r="H44" s="39"/>
      <c r="I44" s="780"/>
      <c r="J44" s="781"/>
      <c r="K44" s="781"/>
      <c r="L44" s="896" t="str">
        <f t="shared" si="8"/>
        <v/>
      </c>
      <c r="M44" s="897"/>
      <c r="N44" s="898"/>
      <c r="O44" s="133"/>
      <c r="P44" s="85"/>
      <c r="R44" s="649"/>
      <c r="T44" s="785" t="str">
        <f>IF(D44="","",VLOOKUP(D44,'9. All Habitats + Multipliers'!$C$4:$K$102,5,FALSE))</f>
        <v/>
      </c>
      <c r="U44" s="786"/>
      <c r="V44" s="351" t="str">
        <f>IF(T44="","",VLOOKUP(T44,'11. Lists'!$S$47:$U$50,2,FALSE))</f>
        <v/>
      </c>
      <c r="W44" s="61" t="str">
        <f t="shared" si="9"/>
        <v/>
      </c>
      <c r="X44" s="148" t="str">
        <f>IF(W44="","",VLOOKUP(W44,'11. Lists'!$F$47:$G$51,2,FALSE))</f>
        <v/>
      </c>
      <c r="Y44" s="111"/>
      <c r="Z44" s="111"/>
      <c r="AA44" s="111"/>
      <c r="AB44" s="225" t="str">
        <f t="shared" si="10"/>
        <v/>
      </c>
      <c r="AC44" s="60" t="str">
        <f>IF(AB44="","",VLOOKUP(AB44,'11. Lists'!$F$36:$H$38,2,FALSE))</f>
        <v/>
      </c>
      <c r="AD44" s="148" t="str">
        <f>IF(AB44="","",VLOOKUP(AB44,'11. Lists'!$F$36:$H$38,3,FALSE))</f>
        <v/>
      </c>
      <c r="AE44" s="61"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56" t="str">
        <f>IF(AE44="","",VLOOKUP(AE44,'11. Lists'!$I$47:$K$80,3,FALSE))</f>
        <v/>
      </c>
      <c r="AG44" s="61" t="str">
        <f>IF(D44="","",VLOOKUP(D44,'9. All Habitats + Multipliers'!$C$4:$K$102,7,FALSE))</f>
        <v/>
      </c>
      <c r="AH44" s="148" t="str">
        <f>IF(AG44="","",VLOOKUP(AG44,'11. Lists'!$J$35:$K$38,2,FALSE))</f>
        <v/>
      </c>
    </row>
    <row r="45" spans="2:34" s="97" customFormat="1" ht="28.8" customHeight="1" x14ac:dyDescent="0.3">
      <c r="B45" s="286">
        <v>7</v>
      </c>
      <c r="C45" s="385" t="s">
        <v>237</v>
      </c>
      <c r="D45" s="63"/>
      <c r="E45" s="154" t="str">
        <f>IF(D45="","",VLOOKUP(D45,'10. Condition and Temporal'!$B$6:$D$103,3,FALSE))</f>
        <v/>
      </c>
      <c r="F45" s="894"/>
      <c r="G45" s="895"/>
      <c r="H45" s="39"/>
      <c r="I45" s="780"/>
      <c r="J45" s="781"/>
      <c r="K45" s="781"/>
      <c r="L45" s="896" t="str">
        <f t="shared" si="8"/>
        <v/>
      </c>
      <c r="M45" s="897"/>
      <c r="N45" s="898"/>
      <c r="O45" s="133"/>
      <c r="P45" s="85"/>
      <c r="R45" s="649"/>
      <c r="T45" s="785" t="str">
        <f>IF(D45="","",VLOOKUP(D45,'9. All Habitats + Multipliers'!$C$4:$K$102,5,FALSE))</f>
        <v/>
      </c>
      <c r="U45" s="786"/>
      <c r="V45" s="351" t="str">
        <f>IF(T45="","",VLOOKUP(T45,'11. Lists'!$S$47:$U$50,2,FALSE))</f>
        <v/>
      </c>
      <c r="W45" s="61" t="str">
        <f t="shared" si="9"/>
        <v/>
      </c>
      <c r="X45" s="148" t="str">
        <f>IF(W45="","",VLOOKUP(W45,'11. Lists'!$F$47:$G$51,2,FALSE))</f>
        <v/>
      </c>
      <c r="Y45" s="111"/>
      <c r="Z45" s="111"/>
      <c r="AA45" s="111"/>
      <c r="AB45" s="225" t="str">
        <f t="shared" si="10"/>
        <v/>
      </c>
      <c r="AC45" s="60" t="str">
        <f>IF(AB45="","",VLOOKUP(AB45,'11. Lists'!$F$36:$H$38,2,FALSE))</f>
        <v/>
      </c>
      <c r="AD45" s="148" t="str">
        <f>IF(AB45="","",VLOOKUP(AB45,'11. Lists'!$F$36:$H$38,3,FALSE))</f>
        <v/>
      </c>
      <c r="AE45" s="61"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56" t="str">
        <f>IF(AE45="","",VLOOKUP(AE45,'11. Lists'!$I$47:$K$80,3,FALSE))</f>
        <v/>
      </c>
      <c r="AG45" s="61" t="str">
        <f>IF(D45="","",VLOOKUP(D45,'9. All Habitats + Multipliers'!$C$4:$K$102,7,FALSE))</f>
        <v/>
      </c>
      <c r="AH45" s="148" t="str">
        <f>IF(AG45="","",VLOOKUP(AG45,'11. Lists'!$J$35:$K$38,2,FALSE))</f>
        <v/>
      </c>
    </row>
    <row r="46" spans="2:34" s="97" customFormat="1" ht="28.8" customHeight="1" x14ac:dyDescent="0.3">
      <c r="B46" s="286">
        <v>8</v>
      </c>
      <c r="C46" s="385" t="s">
        <v>237</v>
      </c>
      <c r="D46" s="63"/>
      <c r="E46" s="154" t="str">
        <f>IF(D46="","",VLOOKUP(D46,'10. Condition and Temporal'!$B$6:$D$103,3,FALSE))</f>
        <v/>
      </c>
      <c r="F46" s="894"/>
      <c r="G46" s="895"/>
      <c r="H46" s="39"/>
      <c r="I46" s="780"/>
      <c r="J46" s="781"/>
      <c r="K46" s="781"/>
      <c r="L46" s="896" t="str">
        <f t="shared" si="8"/>
        <v/>
      </c>
      <c r="M46" s="897"/>
      <c r="N46" s="898"/>
      <c r="O46" s="133"/>
      <c r="P46" s="85"/>
      <c r="R46" s="649"/>
      <c r="T46" s="785" t="str">
        <f>IF(D46="","",VLOOKUP(D46,'9. All Habitats + Multipliers'!$C$4:$K$102,5,FALSE))</f>
        <v/>
      </c>
      <c r="U46" s="786"/>
      <c r="V46" s="351" t="str">
        <f>IF(T46="","",VLOOKUP(T46,'11. Lists'!$S$47:$U$50,2,FALSE))</f>
        <v/>
      </c>
      <c r="W46" s="61" t="str">
        <f t="shared" si="9"/>
        <v/>
      </c>
      <c r="X46" s="148" t="str">
        <f>IF(W46="","",VLOOKUP(W46,'11. Lists'!$F$47:$G$51,2,FALSE))</f>
        <v/>
      </c>
      <c r="Y46" s="111"/>
      <c r="Z46" s="111"/>
      <c r="AA46" s="111"/>
      <c r="AB46" s="225" t="str">
        <f t="shared" si="10"/>
        <v/>
      </c>
      <c r="AC46" s="60" t="str">
        <f>IF(AB46="","",VLOOKUP(AB46,'11. Lists'!$F$36:$H$38,2,FALSE))</f>
        <v/>
      </c>
      <c r="AD46" s="148" t="str">
        <f>IF(AB46="","",VLOOKUP(AB46,'11. Lists'!$F$36:$H$38,3,FALSE))</f>
        <v/>
      </c>
      <c r="AE46" s="61"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56" t="str">
        <f>IF(AE46="","",VLOOKUP(AE46,'11. Lists'!$I$47:$K$80,3,FALSE))</f>
        <v/>
      </c>
      <c r="AG46" s="61" t="str">
        <f>IF(D46="","",VLOOKUP(D46,'9. All Habitats + Multipliers'!$C$4:$K$102,7,FALSE))</f>
        <v/>
      </c>
      <c r="AH46" s="148" t="str">
        <f>IF(AG46="","",VLOOKUP(AG46,'11. Lists'!$J$35:$K$38,2,FALSE))</f>
        <v/>
      </c>
    </row>
    <row r="47" spans="2:34" s="97" customFormat="1" ht="28.8" customHeight="1" x14ac:dyDescent="0.3">
      <c r="B47" s="286">
        <v>9</v>
      </c>
      <c r="C47" s="385" t="s">
        <v>237</v>
      </c>
      <c r="D47" s="63"/>
      <c r="E47" s="154" t="str">
        <f>IF(D47="","",VLOOKUP(D47,'10. Condition and Temporal'!$B$6:$D$103,3,FALSE))</f>
        <v/>
      </c>
      <c r="F47" s="894"/>
      <c r="G47" s="895"/>
      <c r="H47" s="39"/>
      <c r="I47" s="780"/>
      <c r="J47" s="781"/>
      <c r="K47" s="781"/>
      <c r="L47" s="896" t="str">
        <f t="shared" si="8"/>
        <v/>
      </c>
      <c r="M47" s="897"/>
      <c r="N47" s="898"/>
      <c r="O47" s="133"/>
      <c r="P47" s="85"/>
      <c r="R47" s="649"/>
      <c r="T47" s="785" t="str">
        <f>IF(D47="","",VLOOKUP(D47,'9. All Habitats + Multipliers'!$C$4:$K$102,5,FALSE))</f>
        <v/>
      </c>
      <c r="U47" s="786"/>
      <c r="V47" s="351" t="str">
        <f>IF(T47="","",VLOOKUP(T47,'11. Lists'!$S$47:$U$50,2,FALSE))</f>
        <v/>
      </c>
      <c r="W47" s="61" t="str">
        <f t="shared" si="9"/>
        <v/>
      </c>
      <c r="X47" s="148" t="str">
        <f>IF(W47="","",VLOOKUP(W47,'11. Lists'!$F$47:$G$51,2,FALSE))</f>
        <v/>
      </c>
      <c r="Y47" s="111"/>
      <c r="Z47" s="111"/>
      <c r="AA47" s="111"/>
      <c r="AB47" s="225" t="str">
        <f t="shared" si="10"/>
        <v/>
      </c>
      <c r="AC47" s="60" t="str">
        <f>IF(AB47="","",VLOOKUP(AB47,'11. Lists'!$F$36:$H$38,2,FALSE))</f>
        <v/>
      </c>
      <c r="AD47" s="148" t="str">
        <f>IF(AB47="","",VLOOKUP(AB47,'11. Lists'!$F$36:$H$38,3,FALSE))</f>
        <v/>
      </c>
      <c r="AE47" s="61"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56" t="str">
        <f>IF(AE47="","",VLOOKUP(AE47,'11. Lists'!$I$47:$K$80,3,FALSE))</f>
        <v/>
      </c>
      <c r="AG47" s="61" t="str">
        <f>IF(D47="","",VLOOKUP(D47,'9. All Habitats + Multipliers'!$C$4:$K$102,7,FALSE))</f>
        <v/>
      </c>
      <c r="AH47" s="148" t="str">
        <f>IF(AG47="","",VLOOKUP(AG47,'11. Lists'!$J$35:$K$38,2,FALSE))</f>
        <v/>
      </c>
    </row>
    <row r="48" spans="2:34" s="97" customFormat="1" ht="28.8" customHeight="1" x14ac:dyDescent="0.3">
      <c r="B48" s="286">
        <v>10</v>
      </c>
      <c r="C48" s="386" t="s">
        <v>237</v>
      </c>
      <c r="D48" s="63"/>
      <c r="E48" s="154" t="str">
        <f>IF(D48="","",VLOOKUP(D48,'10. Condition and Temporal'!$B$6:$D$103,3,FALSE))</f>
        <v/>
      </c>
      <c r="F48" s="894"/>
      <c r="G48" s="895"/>
      <c r="H48" s="39"/>
      <c r="I48" s="780"/>
      <c r="J48" s="781"/>
      <c r="K48" s="781"/>
      <c r="L48" s="896" t="str">
        <f t="shared" si="8"/>
        <v/>
      </c>
      <c r="M48" s="897"/>
      <c r="N48" s="898"/>
      <c r="O48" s="133"/>
      <c r="P48" s="85"/>
      <c r="R48" s="649"/>
      <c r="T48" s="785" t="str">
        <f>IF(D48="","",VLOOKUP(D48,'9. All Habitats + Multipliers'!$C$4:$K$102,5,FALSE))</f>
        <v/>
      </c>
      <c r="U48" s="786"/>
      <c r="V48" s="351" t="str">
        <f>IF(T48="","",VLOOKUP(T48,'11. Lists'!$S$47:$U$50,2,FALSE))</f>
        <v/>
      </c>
      <c r="W48" s="61" t="str">
        <f t="shared" si="9"/>
        <v/>
      </c>
      <c r="X48" s="148" t="str">
        <f>IF(W48="","",VLOOKUP(W48,'11. Lists'!$F$47:$G$51,2,FALSE))</f>
        <v/>
      </c>
      <c r="Y48" s="111"/>
      <c r="Z48" s="111"/>
      <c r="AA48" s="111"/>
      <c r="AB48" s="225" t="str">
        <f t="shared" si="10"/>
        <v/>
      </c>
      <c r="AC48" s="60" t="str">
        <f>IF(AB48="","",VLOOKUP(AB48,'11. Lists'!$F$36:$H$38,2,FALSE))</f>
        <v/>
      </c>
      <c r="AD48" s="148" t="str">
        <f>IF(AB48="","",VLOOKUP(AB48,'11. Lists'!$F$36:$H$38,3,FALSE))</f>
        <v/>
      </c>
      <c r="AE48" s="61"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56" t="str">
        <f>IF(AE48="","",VLOOKUP(AE48,'11. Lists'!$I$47:$K$80,3,FALSE))</f>
        <v/>
      </c>
      <c r="AG48" s="61" t="str">
        <f>IF(D48="","",VLOOKUP(D48,'9. All Habitats + Multipliers'!$C$4:$K$102,7,FALSE))</f>
        <v/>
      </c>
      <c r="AH48" s="148" t="str">
        <f>IF(AG48="","",VLOOKUP(AG48,'11. Lists'!$J$35:$K$38,2,FALSE))</f>
        <v/>
      </c>
    </row>
    <row r="49" spans="1:73" s="97" customFormat="1" ht="28.8" customHeight="1" x14ac:dyDescent="0.3">
      <c r="B49" s="286">
        <v>11</v>
      </c>
      <c r="C49" s="385" t="s">
        <v>237</v>
      </c>
      <c r="D49" s="63"/>
      <c r="E49" s="154" t="str">
        <f>IF(D49="","",VLOOKUP(D49,'10. Condition and Temporal'!$B$6:$D$103,3,FALSE))</f>
        <v/>
      </c>
      <c r="F49" s="894"/>
      <c r="G49" s="895"/>
      <c r="H49" s="39"/>
      <c r="I49" s="780"/>
      <c r="J49" s="781"/>
      <c r="K49" s="781"/>
      <c r="L49" s="896" t="str">
        <f t="shared" si="8"/>
        <v/>
      </c>
      <c r="M49" s="897"/>
      <c r="N49" s="898"/>
      <c r="O49" s="133"/>
      <c r="P49" s="85"/>
      <c r="R49" s="649"/>
      <c r="T49" s="785" t="str">
        <f>IF(D49="","",VLOOKUP(D49,'9. All Habitats + Multipliers'!$C$4:$K$102,5,FALSE))</f>
        <v/>
      </c>
      <c r="U49" s="786"/>
      <c r="V49" s="351" t="str">
        <f>IF(T49="","",VLOOKUP(T49,'11. Lists'!$S$47:$U$50,2,FALSE))</f>
        <v/>
      </c>
      <c r="W49" s="61" t="str">
        <f t="shared" si="9"/>
        <v/>
      </c>
      <c r="X49" s="148" t="str">
        <f>IF(W49="","",VLOOKUP(W49,'11. Lists'!$F$47:$G$51,2,FALSE))</f>
        <v/>
      </c>
      <c r="Y49" s="111"/>
      <c r="Z49" s="111"/>
      <c r="AA49" s="111"/>
      <c r="AB49" s="225" t="str">
        <f t="shared" si="10"/>
        <v/>
      </c>
      <c r="AC49" s="60" t="str">
        <f>IF(AB49="","",VLOOKUP(AB49,'11. Lists'!$F$36:$H$38,2,FALSE))</f>
        <v/>
      </c>
      <c r="AD49" s="148" t="str">
        <f>IF(AB49="","",VLOOKUP(AB49,'11. Lists'!$F$36:$H$38,3,FALSE))</f>
        <v/>
      </c>
      <c r="AE49" s="61"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56" t="str">
        <f>IF(AE49="","",VLOOKUP(AE49,'11. Lists'!$I$47:$K$80,3,FALSE))</f>
        <v/>
      </c>
      <c r="AG49" s="61" t="str">
        <f>IF(D49="","",VLOOKUP(D49,'9. All Habitats + Multipliers'!$C$4:$K$102,7,FALSE))</f>
        <v/>
      </c>
      <c r="AH49" s="148" t="str">
        <f>IF(AG49="","",VLOOKUP(AG49,'11. Lists'!$J$35:$K$38,2,FALSE))</f>
        <v/>
      </c>
    </row>
    <row r="50" spans="1:73" s="97" customFormat="1" ht="28.8" customHeight="1" x14ac:dyDescent="0.3">
      <c r="B50" s="286">
        <v>12</v>
      </c>
      <c r="C50" s="385" t="s">
        <v>237</v>
      </c>
      <c r="D50" s="63"/>
      <c r="E50" s="154" t="str">
        <f>IF(D50="","",VLOOKUP(D50,'10. Condition and Temporal'!$B$6:$D$103,3,FALSE))</f>
        <v/>
      </c>
      <c r="F50" s="894"/>
      <c r="G50" s="895"/>
      <c r="H50" s="39"/>
      <c r="I50" s="780"/>
      <c r="J50" s="781"/>
      <c r="K50" s="781"/>
      <c r="L50" s="896" t="str">
        <f t="shared" si="8"/>
        <v/>
      </c>
      <c r="M50" s="897"/>
      <c r="N50" s="898"/>
      <c r="O50" s="133"/>
      <c r="P50" s="85"/>
      <c r="R50" s="649"/>
      <c r="T50" s="785" t="str">
        <f>IF(D50="","",VLOOKUP(D50,'9. All Habitats + Multipliers'!$C$4:$K$102,5,FALSE))</f>
        <v/>
      </c>
      <c r="U50" s="786"/>
      <c r="V50" s="351" t="str">
        <f>IF(T50="","",VLOOKUP(T50,'11. Lists'!$S$47:$U$50,2,FALSE))</f>
        <v/>
      </c>
      <c r="W50" s="61" t="str">
        <f t="shared" si="9"/>
        <v/>
      </c>
      <c r="X50" s="148" t="str">
        <f>IF(W50="","",VLOOKUP(W50,'11. Lists'!$F$47:$G$51,2,FALSE))</f>
        <v/>
      </c>
      <c r="Y50" s="111"/>
      <c r="Z50" s="111"/>
      <c r="AA50" s="111"/>
      <c r="AB50" s="225" t="str">
        <f t="shared" si="10"/>
        <v/>
      </c>
      <c r="AC50" s="60" t="str">
        <f>IF(AB50="","",VLOOKUP(AB50,'11. Lists'!$F$36:$H$38,2,FALSE))</f>
        <v/>
      </c>
      <c r="AD50" s="148" t="str">
        <f>IF(AB50="","",VLOOKUP(AB50,'11. Lists'!$F$36:$H$38,3,FALSE))</f>
        <v/>
      </c>
      <c r="AE50" s="61"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56" t="str">
        <f>IF(AE50="","",VLOOKUP(AE50,'11. Lists'!$I$47:$K$80,3,FALSE))</f>
        <v/>
      </c>
      <c r="AG50" s="61" t="str">
        <f>IF(D50="","",VLOOKUP(D50,'9. All Habitats + Multipliers'!$C$4:$K$102,7,FALSE))</f>
        <v/>
      </c>
      <c r="AH50" s="148" t="str">
        <f>IF(AG50="","",VLOOKUP(AG50,'11. Lists'!$J$35:$K$38,2,FALSE))</f>
        <v/>
      </c>
    </row>
    <row r="51" spans="1:73" s="97" customFormat="1" ht="28.8" customHeight="1" x14ac:dyDescent="0.3">
      <c r="B51" s="286">
        <v>13</v>
      </c>
      <c r="C51" s="385" t="s">
        <v>237</v>
      </c>
      <c r="D51" s="63"/>
      <c r="E51" s="154" t="str">
        <f>IF(D51="","",VLOOKUP(D51,'10. Condition and Temporal'!$B$6:$D$103,3,FALSE))</f>
        <v/>
      </c>
      <c r="F51" s="894"/>
      <c r="G51" s="895"/>
      <c r="H51" s="39"/>
      <c r="I51" s="780"/>
      <c r="J51" s="781"/>
      <c r="K51" s="781"/>
      <c r="L51" s="896" t="str">
        <f t="shared" si="8"/>
        <v/>
      </c>
      <c r="M51" s="897"/>
      <c r="N51" s="898"/>
      <c r="O51" s="133"/>
      <c r="P51" s="85"/>
      <c r="R51" s="649"/>
      <c r="T51" s="785" t="str">
        <f>IF(D51="","",VLOOKUP(D51,'9. All Habitats + Multipliers'!$C$4:$K$102,5,FALSE))</f>
        <v/>
      </c>
      <c r="U51" s="786"/>
      <c r="V51" s="351" t="str">
        <f>IF(T51="","",VLOOKUP(T51,'11. Lists'!$S$47:$U$50,2,FALSE))</f>
        <v/>
      </c>
      <c r="W51" s="61" t="str">
        <f t="shared" si="9"/>
        <v/>
      </c>
      <c r="X51" s="148" t="str">
        <f>IF(W51="","",VLOOKUP(W51,'11. Lists'!$F$47:$G$51,2,FALSE))</f>
        <v/>
      </c>
      <c r="Y51" s="111"/>
      <c r="Z51" s="111"/>
      <c r="AA51" s="111"/>
      <c r="AB51" s="225" t="str">
        <f t="shared" si="10"/>
        <v/>
      </c>
      <c r="AC51" s="60" t="str">
        <f>IF(AB51="","",VLOOKUP(AB51,'11. Lists'!$F$36:$H$38,2,FALSE))</f>
        <v/>
      </c>
      <c r="AD51" s="148" t="str">
        <f>IF(AB51="","",VLOOKUP(AB51,'11. Lists'!$F$36:$H$38,3,FALSE))</f>
        <v/>
      </c>
      <c r="AE51" s="61"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56" t="str">
        <f>IF(AE51="","",VLOOKUP(AE51,'11. Lists'!$I$47:$K$80,3,FALSE))</f>
        <v/>
      </c>
      <c r="AG51" s="61" t="str">
        <f>IF(D51="","",VLOOKUP(D51,'9. All Habitats + Multipliers'!$C$4:$K$102,7,FALSE))</f>
        <v/>
      </c>
      <c r="AH51" s="148" t="str">
        <f>IF(AG51="","",VLOOKUP(AG51,'11. Lists'!$J$35:$K$38,2,FALSE))</f>
        <v/>
      </c>
    </row>
    <row r="52" spans="1:73" s="97" customFormat="1" ht="28.8" customHeight="1" x14ac:dyDescent="0.3">
      <c r="B52" s="286">
        <v>14</v>
      </c>
      <c r="C52" s="385" t="s">
        <v>237</v>
      </c>
      <c r="D52" s="63"/>
      <c r="E52" s="154" t="str">
        <f>IF(D52="","",VLOOKUP(D52,'10. Condition and Temporal'!$B$6:$D$103,3,FALSE))</f>
        <v/>
      </c>
      <c r="F52" s="894"/>
      <c r="G52" s="895"/>
      <c r="H52" s="39"/>
      <c r="I52" s="780"/>
      <c r="J52" s="781"/>
      <c r="K52" s="781"/>
      <c r="L52" s="896" t="str">
        <f t="shared" si="8"/>
        <v/>
      </c>
      <c r="M52" s="897"/>
      <c r="N52" s="898"/>
      <c r="O52" s="133"/>
      <c r="P52" s="85"/>
      <c r="R52" s="649"/>
      <c r="T52" s="785" t="str">
        <f>IF(D52="","",VLOOKUP(D52,'9. All Habitats + Multipliers'!$C$4:$K$102,5,FALSE))</f>
        <v/>
      </c>
      <c r="U52" s="786"/>
      <c r="V52" s="351" t="str">
        <f>IF(T52="","",VLOOKUP(T52,'11. Lists'!$S$47:$U$50,2,FALSE))</f>
        <v/>
      </c>
      <c r="W52" s="61" t="str">
        <f t="shared" si="9"/>
        <v/>
      </c>
      <c r="X52" s="148" t="str">
        <f>IF(W52="","",VLOOKUP(W52,'11. Lists'!$F$47:$G$51,2,FALSE))</f>
        <v/>
      </c>
      <c r="Y52" s="111"/>
      <c r="Z52" s="111"/>
      <c r="AA52" s="111"/>
      <c r="AB52" s="225" t="str">
        <f t="shared" si="10"/>
        <v/>
      </c>
      <c r="AC52" s="60" t="str">
        <f>IF(AB52="","",VLOOKUP(AB52,'11. Lists'!$F$36:$H$38,2,FALSE))</f>
        <v/>
      </c>
      <c r="AD52" s="148" t="str">
        <f>IF(AB52="","",VLOOKUP(AB52,'11. Lists'!$F$36:$H$38,3,FALSE))</f>
        <v/>
      </c>
      <c r="AE52" s="61"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56" t="str">
        <f>IF(AE52="","",VLOOKUP(AE52,'11. Lists'!$I$47:$K$80,3,FALSE))</f>
        <v/>
      </c>
      <c r="AG52" s="61" t="str">
        <f>IF(D52="","",VLOOKUP(D52,'9. All Habitats + Multipliers'!$C$4:$K$102,7,FALSE))</f>
        <v/>
      </c>
      <c r="AH52" s="148" t="str">
        <f>IF(AG52="","",VLOOKUP(AG52,'11. Lists'!$J$35:$K$38,2,FALSE))</f>
        <v/>
      </c>
    </row>
    <row r="53" spans="1:73" s="97" customFormat="1" ht="28.8" customHeight="1" x14ac:dyDescent="0.3">
      <c r="B53" s="286">
        <v>15</v>
      </c>
      <c r="C53" s="385" t="s">
        <v>237</v>
      </c>
      <c r="D53" s="63"/>
      <c r="E53" s="154" t="str">
        <f>IF(D53="","",VLOOKUP(D53,'10. Condition and Temporal'!$B$6:$D$103,3,FALSE))</f>
        <v/>
      </c>
      <c r="F53" s="894"/>
      <c r="G53" s="895"/>
      <c r="H53" s="39"/>
      <c r="I53" s="780"/>
      <c r="J53" s="781"/>
      <c r="K53" s="781"/>
      <c r="L53" s="896" t="str">
        <f t="shared" si="8"/>
        <v/>
      </c>
      <c r="M53" s="897"/>
      <c r="N53" s="898"/>
      <c r="O53" s="133"/>
      <c r="P53" s="85"/>
      <c r="R53" s="649"/>
      <c r="T53" s="785" t="str">
        <f>IF(D53="","",VLOOKUP(D53,'9. All Habitats + Multipliers'!$C$4:$K$102,5,FALSE))</f>
        <v/>
      </c>
      <c r="U53" s="786"/>
      <c r="V53" s="351" t="str">
        <f>IF(T53="","",VLOOKUP(T53,'11. Lists'!$S$47:$U$50,2,FALSE))</f>
        <v/>
      </c>
      <c r="W53" s="61" t="str">
        <f t="shared" si="9"/>
        <v/>
      </c>
      <c r="X53" s="148" t="str">
        <f>IF(W53="","",VLOOKUP(W53,'11. Lists'!$F$47:$G$51,2,FALSE))</f>
        <v/>
      </c>
      <c r="Y53" s="111"/>
      <c r="Z53" s="111"/>
      <c r="AA53" s="111"/>
      <c r="AB53" s="225" t="str">
        <f t="shared" si="10"/>
        <v/>
      </c>
      <c r="AC53" s="60" t="str">
        <f>IF(AB53="","",VLOOKUP(AB53,'11. Lists'!$F$36:$H$38,2,FALSE))</f>
        <v/>
      </c>
      <c r="AD53" s="148" t="str">
        <f>IF(AB53="","",VLOOKUP(AB53,'11. Lists'!$F$36:$H$38,3,FALSE))</f>
        <v/>
      </c>
      <c r="AE53" s="61"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56" t="str">
        <f>IF(AE53="","",VLOOKUP(AE53,'11. Lists'!$I$47:$K$80,3,FALSE))</f>
        <v/>
      </c>
      <c r="AG53" s="61" t="str">
        <f>IF(D53="","",VLOOKUP(D53,'9. All Habitats + Multipliers'!$C$4:$K$102,7,FALSE))</f>
        <v/>
      </c>
      <c r="AH53" s="148" t="str">
        <f>IF(AG53="","",VLOOKUP(AG53,'11. Lists'!$J$35:$K$38,2,FALSE))</f>
        <v/>
      </c>
    </row>
    <row r="54" spans="1:73" s="97" customFormat="1" ht="28.8" customHeight="1" x14ac:dyDescent="0.3">
      <c r="B54" s="286">
        <v>16</v>
      </c>
      <c r="C54" s="385" t="s">
        <v>237</v>
      </c>
      <c r="D54" s="63"/>
      <c r="E54" s="154" t="str">
        <f>IF(D54="","",VLOOKUP(D54,'10. Condition and Temporal'!$B$6:$D$103,3,FALSE))</f>
        <v/>
      </c>
      <c r="F54" s="894"/>
      <c r="G54" s="895"/>
      <c r="H54" s="39"/>
      <c r="I54" s="780"/>
      <c r="J54" s="781"/>
      <c r="K54" s="781"/>
      <c r="L54" s="896" t="str">
        <f t="shared" si="8"/>
        <v/>
      </c>
      <c r="M54" s="897"/>
      <c r="N54" s="898"/>
      <c r="O54" s="133"/>
      <c r="P54" s="85"/>
      <c r="R54" s="649"/>
      <c r="T54" s="785" t="str">
        <f>IF(D54="","",VLOOKUP(D54,'9. All Habitats + Multipliers'!$C$4:$K$102,5,FALSE))</f>
        <v/>
      </c>
      <c r="U54" s="786"/>
      <c r="V54" s="351" t="str">
        <f>IF(T54="","",VLOOKUP(T54,'11. Lists'!$S$47:$U$50,2,FALSE))</f>
        <v/>
      </c>
      <c r="W54" s="61" t="str">
        <f t="shared" si="9"/>
        <v/>
      </c>
      <c r="X54" s="148" t="str">
        <f>IF(W54="","",VLOOKUP(W54,'11. Lists'!$F$47:$G$51,2,FALSE))</f>
        <v/>
      </c>
      <c r="Y54" s="111"/>
      <c r="Z54" s="111"/>
      <c r="AA54" s="111"/>
      <c r="AB54" s="225" t="str">
        <f t="shared" si="10"/>
        <v/>
      </c>
      <c r="AC54" s="60" t="str">
        <f>IF(AB54="","",VLOOKUP(AB54,'11. Lists'!$F$36:$H$38,2,FALSE))</f>
        <v/>
      </c>
      <c r="AD54" s="148" t="str">
        <f>IF(AB54="","",VLOOKUP(AB54,'11. Lists'!$F$36:$H$38,3,FALSE))</f>
        <v/>
      </c>
      <c r="AE54" s="61"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56" t="str">
        <f>IF(AE54="","",VLOOKUP(AE54,'11. Lists'!$I$47:$K$80,3,FALSE))</f>
        <v/>
      </c>
      <c r="AG54" s="61" t="str">
        <f>IF(D54="","",VLOOKUP(D54,'9. All Habitats + Multipliers'!$C$4:$K$102,7,FALSE))</f>
        <v/>
      </c>
      <c r="AH54" s="148" t="str">
        <f>IF(AG54="","",VLOOKUP(AG54,'11. Lists'!$J$35:$K$38,2,FALSE))</f>
        <v/>
      </c>
    </row>
    <row r="55" spans="1:73" s="97" customFormat="1" ht="28.8" customHeight="1" x14ac:dyDescent="0.3">
      <c r="B55" s="286">
        <v>17</v>
      </c>
      <c r="C55" s="385" t="s">
        <v>237</v>
      </c>
      <c r="D55" s="63"/>
      <c r="E55" s="154" t="str">
        <f>IF(D55="","",VLOOKUP(D55,'10. Condition and Temporal'!$B$6:$D$103,3,FALSE))</f>
        <v/>
      </c>
      <c r="F55" s="894"/>
      <c r="G55" s="895"/>
      <c r="H55" s="39"/>
      <c r="I55" s="780"/>
      <c r="J55" s="781"/>
      <c r="K55" s="781"/>
      <c r="L55" s="896" t="str">
        <f t="shared" si="8"/>
        <v/>
      </c>
      <c r="M55" s="897"/>
      <c r="N55" s="898"/>
      <c r="O55" s="133"/>
      <c r="P55" s="85"/>
      <c r="R55" s="649"/>
      <c r="T55" s="785" t="str">
        <f>IF(D55="","",VLOOKUP(D55,'9. All Habitats + Multipliers'!$C$4:$K$102,5,FALSE))</f>
        <v/>
      </c>
      <c r="U55" s="786"/>
      <c r="V55" s="351" t="str">
        <f>IF(T55="","",VLOOKUP(T55,'11. Lists'!$S$47:$U$50,2,FALSE))</f>
        <v/>
      </c>
      <c r="W55" s="61" t="str">
        <f t="shared" si="9"/>
        <v/>
      </c>
      <c r="X55" s="148" t="str">
        <f>IF(W55="","",VLOOKUP(W55,'11. Lists'!$F$47:$G$51,2,FALSE))</f>
        <v/>
      </c>
      <c r="Y55" s="111"/>
      <c r="Z55" s="111"/>
      <c r="AA55" s="111"/>
      <c r="AB55" s="225" t="str">
        <f t="shared" si="10"/>
        <v/>
      </c>
      <c r="AC55" s="60" t="str">
        <f>IF(AB55="","",VLOOKUP(AB55,'11. Lists'!$F$36:$H$38,2,FALSE))</f>
        <v/>
      </c>
      <c r="AD55" s="148" t="str">
        <f>IF(AB55="","",VLOOKUP(AB55,'11. Lists'!$F$36:$H$38,3,FALSE))</f>
        <v/>
      </c>
      <c r="AE55" s="61"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56" t="str">
        <f>IF(AE55="","",VLOOKUP(AE55,'11. Lists'!$I$47:$K$80,3,FALSE))</f>
        <v/>
      </c>
      <c r="AG55" s="61" t="str">
        <f>IF(D55="","",VLOOKUP(D55,'9. All Habitats + Multipliers'!$C$4:$K$102,7,FALSE))</f>
        <v/>
      </c>
      <c r="AH55" s="148" t="str">
        <f>IF(AG55="","",VLOOKUP(AG55,'11. Lists'!$J$35:$K$38,2,FALSE))</f>
        <v/>
      </c>
    </row>
    <row r="56" spans="1:73" s="97" customFormat="1" ht="28.8" customHeight="1" x14ac:dyDescent="0.3">
      <c r="B56" s="286">
        <v>18</v>
      </c>
      <c r="C56" s="385" t="s">
        <v>237</v>
      </c>
      <c r="D56" s="63"/>
      <c r="E56" s="154" t="str">
        <f>IF(D56="","",VLOOKUP(D56,'10. Condition and Temporal'!$B$6:$D$103,3,FALSE))</f>
        <v/>
      </c>
      <c r="F56" s="894"/>
      <c r="G56" s="895"/>
      <c r="H56" s="39"/>
      <c r="I56" s="780"/>
      <c r="J56" s="781"/>
      <c r="K56" s="781"/>
      <c r="L56" s="896" t="str">
        <f t="shared" si="8"/>
        <v/>
      </c>
      <c r="M56" s="897"/>
      <c r="N56" s="898"/>
      <c r="O56" s="133"/>
      <c r="P56" s="85"/>
      <c r="R56" s="649"/>
      <c r="T56" s="785" t="str">
        <f>IF(D56="","",VLOOKUP(D56,'9. All Habitats + Multipliers'!$C$4:$K$102,5,FALSE))</f>
        <v/>
      </c>
      <c r="U56" s="786"/>
      <c r="V56" s="351" t="str">
        <f>IF(T56="","",VLOOKUP(T56,'11. Lists'!$S$47:$U$50,2,FALSE))</f>
        <v/>
      </c>
      <c r="W56" s="61" t="str">
        <f t="shared" si="9"/>
        <v/>
      </c>
      <c r="X56" s="148" t="str">
        <f>IF(W56="","",VLOOKUP(W56,'11. Lists'!$F$47:$G$51,2,FALSE))</f>
        <v/>
      </c>
      <c r="Y56" s="111"/>
      <c r="Z56" s="111"/>
      <c r="AA56" s="111"/>
      <c r="AB56" s="225" t="str">
        <f t="shared" si="10"/>
        <v/>
      </c>
      <c r="AC56" s="60" t="str">
        <f>IF(AB56="","",VLOOKUP(AB56,'11. Lists'!$F$36:$H$38,2,FALSE))</f>
        <v/>
      </c>
      <c r="AD56" s="148" t="str">
        <f>IF(AB56="","",VLOOKUP(AB56,'11. Lists'!$F$36:$H$38,3,FALSE))</f>
        <v/>
      </c>
      <c r="AE56" s="61"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56" t="str">
        <f>IF(AE56="","",VLOOKUP(AE56,'11. Lists'!$I$47:$K$80,3,FALSE))</f>
        <v/>
      </c>
      <c r="AG56" s="61" t="str">
        <f>IF(D56="","",VLOOKUP(D56,'9. All Habitats + Multipliers'!$C$4:$K$102,7,FALSE))</f>
        <v/>
      </c>
      <c r="AH56" s="148" t="str">
        <f>IF(AG56="","",VLOOKUP(AG56,'11. Lists'!$J$35:$K$38,2,FALSE))</f>
        <v/>
      </c>
    </row>
    <row r="57" spans="1:73" s="97" customFormat="1" ht="28.8" customHeight="1" x14ac:dyDescent="0.3">
      <c r="B57" s="286">
        <v>19</v>
      </c>
      <c r="C57" s="387" t="s">
        <v>237</v>
      </c>
      <c r="D57" s="63"/>
      <c r="E57" s="154" t="str">
        <f>IF(D57="","",VLOOKUP(D57,'10. Condition and Temporal'!$B$6:$D$103,3,FALSE))</f>
        <v/>
      </c>
      <c r="F57" s="894"/>
      <c r="G57" s="895"/>
      <c r="H57" s="39"/>
      <c r="I57" s="780"/>
      <c r="J57" s="781"/>
      <c r="K57" s="781"/>
      <c r="L57" s="896" t="str">
        <f t="shared" si="8"/>
        <v/>
      </c>
      <c r="M57" s="897"/>
      <c r="N57" s="898"/>
      <c r="O57" s="133"/>
      <c r="P57" s="85"/>
      <c r="R57" s="649"/>
      <c r="T57" s="785" t="str">
        <f>IF(D57="","",VLOOKUP(D57,'9. All Habitats + Multipliers'!$C$4:$K$102,5,FALSE))</f>
        <v/>
      </c>
      <c r="U57" s="786"/>
      <c r="V57" s="351" t="str">
        <f>IF(T57="","",VLOOKUP(T57,'11. Lists'!$S$47:$U$50,2,FALSE))</f>
        <v/>
      </c>
      <c r="W57" s="61" t="str">
        <f t="shared" si="9"/>
        <v/>
      </c>
      <c r="X57" s="148" t="str">
        <f>IF(W57="","",VLOOKUP(W57,'11. Lists'!$F$47:$G$51,2,FALSE))</f>
        <v/>
      </c>
      <c r="Y57" s="111"/>
      <c r="Z57" s="111"/>
      <c r="AA57" s="111"/>
      <c r="AB57" s="225" t="str">
        <f t="shared" si="10"/>
        <v/>
      </c>
      <c r="AC57" s="60" t="str">
        <f>IF(AB57="","",VLOOKUP(AB57,'11. Lists'!$F$36:$H$38,2,FALSE))</f>
        <v/>
      </c>
      <c r="AD57" s="148" t="str">
        <f>IF(AB57="","",VLOOKUP(AB57,'11. Lists'!$F$36:$H$38,3,FALSE))</f>
        <v/>
      </c>
      <c r="AE57" s="61"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56" t="str">
        <f>IF(AE57="","",VLOOKUP(AE57,'11. Lists'!$I$47:$K$80,3,FALSE))</f>
        <v/>
      </c>
      <c r="AG57" s="61" t="str">
        <f>IF(D57="","",VLOOKUP(D57,'9. All Habitats + Multipliers'!$C$4:$K$102,7,FALSE))</f>
        <v/>
      </c>
      <c r="AH57" s="148" t="str">
        <f>IF(AG57="","",VLOOKUP(AG57,'11. Lists'!$J$35:$K$38,2,FALSE))</f>
        <v/>
      </c>
    </row>
    <row r="58" spans="1:73" s="97" customFormat="1" ht="29.55" customHeight="1" x14ac:dyDescent="0.3">
      <c r="B58" s="287">
        <v>20</v>
      </c>
      <c r="C58" s="388" t="s">
        <v>237</v>
      </c>
      <c r="D58" s="179"/>
      <c r="E58" s="180" t="str">
        <f>IF(D58="","",VLOOKUP(D58,'10. Condition and Temporal'!$B$6:$D$103,3,FALSE))</f>
        <v/>
      </c>
      <c r="F58" s="882"/>
      <c r="G58" s="883"/>
      <c r="H58" s="138"/>
      <c r="I58" s="884"/>
      <c r="J58" s="885"/>
      <c r="K58" s="885"/>
      <c r="L58" s="886" t="str">
        <f t="shared" si="8"/>
        <v/>
      </c>
      <c r="M58" s="887"/>
      <c r="N58" s="888"/>
      <c r="O58" s="134"/>
      <c r="P58" s="87"/>
      <c r="R58" s="649"/>
      <c r="T58" s="785" t="str">
        <f>IF(D58="","",VLOOKUP(D58,'9. All Habitats + Multipliers'!$C$4:$K$102,5,FALSE))</f>
        <v/>
      </c>
      <c r="U58" s="786"/>
      <c r="V58" s="351" t="str">
        <f>IF(T58="","",VLOOKUP(T58,'11. Lists'!$S$47:$U$50,2,FALSE))</f>
        <v/>
      </c>
      <c r="W58" s="57" t="str">
        <f t="shared" si="9"/>
        <v/>
      </c>
      <c r="X58" s="151" t="str">
        <f>IF(W58="","",VLOOKUP(W58,'11. Lists'!$F$47:$G$51,2,FALSE))</f>
        <v/>
      </c>
      <c r="Y58" s="111"/>
      <c r="Z58" s="111"/>
      <c r="AA58" s="111"/>
      <c r="AB58" s="225" t="str">
        <f t="shared" si="10"/>
        <v/>
      </c>
      <c r="AC58" s="60" t="str">
        <f>IF(AB58="","",VLOOKUP(AB58,'11. Lists'!$F$36:$H$38,2,FALSE))</f>
        <v/>
      </c>
      <c r="AD58" s="148" t="str">
        <f>IF(AB58="","",VLOOKUP(AB58,'11. Lists'!$F$36:$H$38,3,FALSE))</f>
        <v/>
      </c>
      <c r="AE58" s="61"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56" t="str">
        <f>IF(AE58="","",VLOOKUP(AE58,'11. Lists'!$I$47:$K$80,3,FALSE))</f>
        <v/>
      </c>
      <c r="AG58" s="61" t="str">
        <f>IF(D58="","",VLOOKUP(D58,'9. All Habitats + Multipliers'!$C$4:$K$102,7,FALSE))</f>
        <v/>
      </c>
      <c r="AH58" s="148" t="str">
        <f>IF(AG58="","",VLOOKUP(AG58,'11. Lists'!$J$35:$K$38,2,FALSE))</f>
        <v/>
      </c>
    </row>
    <row r="59" spans="1:73" s="97" customFormat="1" ht="15" customHeight="1" x14ac:dyDescent="0.3">
      <c r="H59" s="291" t="s">
        <v>238</v>
      </c>
      <c r="I59" s="754">
        <f>SUM(I39:K58)</f>
        <v>0</v>
      </c>
      <c r="J59" s="755"/>
      <c r="K59" s="756"/>
      <c r="L59" s="865">
        <f>SUM(L39:N58)</f>
        <v>0</v>
      </c>
      <c r="M59" s="889"/>
      <c r="N59" s="864"/>
      <c r="R59" s="649"/>
    </row>
    <row r="60" spans="1:73" s="97" customFormat="1" ht="15" customHeight="1" x14ac:dyDescent="0.3">
      <c r="H60" s="294" t="s">
        <v>108</v>
      </c>
      <c r="I60" s="890" t="str">
        <f>IF(I59&lt;5000,"Lengths Acceptable ✓",IF(I59&gt;=5000,"Length Exceeds Length Appropriate for Small Sites Metric ▲"))</f>
        <v>Lengths Acceptable ✓</v>
      </c>
      <c r="J60" s="890"/>
      <c r="K60" s="890"/>
      <c r="L60" s="890"/>
      <c r="M60" s="890"/>
      <c r="N60" s="891"/>
      <c r="R60" s="649"/>
    </row>
    <row r="61" spans="1:73" s="97" customFormat="1" x14ac:dyDescent="0.3">
      <c r="R61" s="649"/>
      <c r="BA61" s="112" t="s">
        <v>128</v>
      </c>
    </row>
    <row r="62" spans="1:73" s="97" customFormat="1" ht="21" customHeight="1" x14ac:dyDescent="0.4">
      <c r="B62" s="119" t="s">
        <v>129</v>
      </c>
      <c r="D62" s="146"/>
      <c r="H62" s="98"/>
      <c r="R62" s="649"/>
      <c r="BA62" s="112" t="s">
        <v>130</v>
      </c>
    </row>
    <row r="63" spans="1:73" s="97" customFormat="1" ht="15" customHeight="1" x14ac:dyDescent="0.3">
      <c r="A63" s="892"/>
      <c r="R63" s="649"/>
    </row>
    <row r="64" spans="1:73" s="97" customFormat="1" ht="16.2" customHeight="1" x14ac:dyDescent="0.3">
      <c r="A64" s="892"/>
      <c r="B64" s="761" t="s">
        <v>131</v>
      </c>
      <c r="C64" s="763" t="s">
        <v>132</v>
      </c>
      <c r="D64" s="764"/>
      <c r="E64" s="765" t="s">
        <v>133</v>
      </c>
      <c r="F64" s="766"/>
      <c r="G64" s="767"/>
      <c r="H64" s="748" t="s">
        <v>134</v>
      </c>
      <c r="I64" s="748" t="s">
        <v>241</v>
      </c>
      <c r="J64" s="768" t="s">
        <v>136</v>
      </c>
      <c r="K64" s="769"/>
      <c r="L64" s="796" t="s">
        <v>137</v>
      </c>
      <c r="M64" s="773" t="s">
        <v>138</v>
      </c>
      <c r="N64" s="764"/>
      <c r="O64" s="776" t="s">
        <v>79</v>
      </c>
      <c r="P64" s="777"/>
      <c r="R64" s="649"/>
      <c r="T64" s="745" t="s">
        <v>139</v>
      </c>
      <c r="U64" s="746"/>
      <c r="V64" s="746"/>
      <c r="W64" s="746"/>
      <c r="X64" s="746"/>
      <c r="Y64" s="746"/>
      <c r="Z64" s="746"/>
      <c r="AA64" s="746"/>
      <c r="AB64" s="746"/>
      <c r="AC64" s="746"/>
      <c r="AD64" s="747"/>
      <c r="AE64" s="748" t="s">
        <v>140</v>
      </c>
      <c r="AF64" s="745" t="s">
        <v>141</v>
      </c>
      <c r="AG64" s="746"/>
      <c r="AH64" s="746"/>
      <c r="AI64" s="746"/>
      <c r="AJ64" s="874"/>
      <c r="AK64" s="874"/>
      <c r="AL64" s="874"/>
      <c r="AM64" s="874"/>
      <c r="AN64" s="874"/>
      <c r="AO64" s="746"/>
      <c r="AP64" s="747"/>
      <c r="AQ64" s="750" t="s">
        <v>142</v>
      </c>
      <c r="AR64" s="745" t="s">
        <v>141</v>
      </c>
      <c r="AS64" s="746"/>
      <c r="AT64" s="746"/>
      <c r="AU64" s="746"/>
      <c r="AV64" s="746"/>
      <c r="AW64" s="746"/>
      <c r="AX64" s="747"/>
      <c r="BA64" s="69" t="s">
        <v>143</v>
      </c>
      <c r="BB64" s="226">
        <f t="shared" ref="BB64:BU64" si="11">COUNTIF(BB66:BB85,"?*")</f>
        <v>0</v>
      </c>
      <c r="BC64" s="226">
        <f t="shared" si="11"/>
        <v>0</v>
      </c>
      <c r="BD64" s="226">
        <f t="shared" si="11"/>
        <v>0</v>
      </c>
      <c r="BE64" s="226">
        <f t="shared" si="11"/>
        <v>0</v>
      </c>
      <c r="BF64" s="226">
        <f t="shared" si="11"/>
        <v>0</v>
      </c>
      <c r="BG64" s="226">
        <f t="shared" si="11"/>
        <v>0</v>
      </c>
      <c r="BH64" s="226">
        <f t="shared" si="11"/>
        <v>0</v>
      </c>
      <c r="BI64" s="226">
        <f t="shared" si="11"/>
        <v>0</v>
      </c>
      <c r="BJ64" s="226">
        <f t="shared" si="11"/>
        <v>0</v>
      </c>
      <c r="BK64" s="226">
        <f t="shared" si="11"/>
        <v>0</v>
      </c>
      <c r="BL64" s="226">
        <f t="shared" si="11"/>
        <v>0</v>
      </c>
      <c r="BM64" s="226">
        <f t="shared" si="11"/>
        <v>0</v>
      </c>
      <c r="BN64" s="226">
        <f t="shared" si="11"/>
        <v>0</v>
      </c>
      <c r="BO64" s="226">
        <f t="shared" si="11"/>
        <v>0</v>
      </c>
      <c r="BP64" s="226">
        <f t="shared" si="11"/>
        <v>0</v>
      </c>
      <c r="BQ64" s="226">
        <f t="shared" si="11"/>
        <v>0</v>
      </c>
      <c r="BR64" s="226">
        <f t="shared" si="11"/>
        <v>0</v>
      </c>
      <c r="BS64" s="226">
        <f t="shared" si="11"/>
        <v>0</v>
      </c>
      <c r="BT64" s="226">
        <f t="shared" si="11"/>
        <v>0</v>
      </c>
      <c r="BU64" s="226">
        <f t="shared" si="11"/>
        <v>0</v>
      </c>
    </row>
    <row r="65" spans="1:76" s="97" customFormat="1" ht="41.55" customHeight="1" x14ac:dyDescent="0.3">
      <c r="A65" s="892"/>
      <c r="B65" s="762"/>
      <c r="C65" s="241" t="s">
        <v>144</v>
      </c>
      <c r="D65" s="42" t="s">
        <v>145</v>
      </c>
      <c r="E65" s="144" t="s">
        <v>146</v>
      </c>
      <c r="F65" s="731" t="s">
        <v>147</v>
      </c>
      <c r="G65" s="732"/>
      <c r="H65" s="749"/>
      <c r="I65" s="749"/>
      <c r="J65" s="770"/>
      <c r="K65" s="771"/>
      <c r="L65" s="893"/>
      <c r="M65" s="774"/>
      <c r="N65" s="775"/>
      <c r="O65" s="55" t="s">
        <v>94</v>
      </c>
      <c r="P65" s="42" t="s">
        <v>95</v>
      </c>
      <c r="R65" s="649"/>
      <c r="T65" s="49" t="s">
        <v>148</v>
      </c>
      <c r="U65" s="16" t="s">
        <v>149</v>
      </c>
      <c r="V65" s="356" t="s">
        <v>150</v>
      </c>
      <c r="W65" s="16" t="s">
        <v>151</v>
      </c>
      <c r="X65" s="358" t="s">
        <v>152</v>
      </c>
      <c r="Y65" s="359"/>
      <c r="Z65" s="359"/>
      <c r="AA65" s="359"/>
      <c r="AB65" s="358" t="s">
        <v>153</v>
      </c>
      <c r="AC65" s="357" t="s">
        <v>154</v>
      </c>
      <c r="AD65" s="356" t="s">
        <v>155</v>
      </c>
      <c r="AE65" s="749"/>
      <c r="AF65" s="48" t="s">
        <v>148</v>
      </c>
      <c r="AG65" s="16" t="s">
        <v>96</v>
      </c>
      <c r="AH65" s="356" t="s">
        <v>97</v>
      </c>
      <c r="AI65" s="48" t="s">
        <v>98</v>
      </c>
      <c r="AJ65" s="68" t="s">
        <v>97</v>
      </c>
      <c r="AK65" s="367"/>
      <c r="AL65" s="367"/>
      <c r="AM65" s="367"/>
      <c r="AN65" s="67" t="s">
        <v>82</v>
      </c>
      <c r="AO65" s="47" t="s">
        <v>82</v>
      </c>
      <c r="AP65" s="356" t="s">
        <v>99</v>
      </c>
      <c r="AQ65" s="875"/>
      <c r="AR65" s="356" t="s">
        <v>156</v>
      </c>
      <c r="AS65" s="16" t="s">
        <v>157</v>
      </c>
      <c r="AT65" s="356" t="s">
        <v>158</v>
      </c>
      <c r="AU65" s="47" t="s">
        <v>159</v>
      </c>
      <c r="AV65" s="356" t="s">
        <v>160</v>
      </c>
      <c r="AW65" s="222" t="s">
        <v>161</v>
      </c>
      <c r="AX65" s="223" t="s">
        <v>162</v>
      </c>
      <c r="BA65" s="142" t="s">
        <v>242</v>
      </c>
      <c r="BB65" s="210">
        <v>1</v>
      </c>
      <c r="BC65" s="210">
        <v>2</v>
      </c>
      <c r="BD65" s="210">
        <v>3</v>
      </c>
      <c r="BE65" s="210">
        <v>4</v>
      </c>
      <c r="BF65" s="210">
        <v>5</v>
      </c>
      <c r="BG65" s="210">
        <v>6</v>
      </c>
      <c r="BH65" s="210">
        <v>7</v>
      </c>
      <c r="BI65" s="210">
        <v>8</v>
      </c>
      <c r="BJ65" s="210">
        <v>9</v>
      </c>
      <c r="BK65" s="210">
        <v>10</v>
      </c>
      <c r="BL65" s="210">
        <v>11</v>
      </c>
      <c r="BM65" s="210">
        <v>12</v>
      </c>
      <c r="BN65" s="210">
        <v>13</v>
      </c>
      <c r="BO65" s="210">
        <v>14</v>
      </c>
      <c r="BP65" s="210">
        <v>15</v>
      </c>
      <c r="BQ65" s="210">
        <v>16</v>
      </c>
      <c r="BR65" s="210">
        <v>17</v>
      </c>
      <c r="BS65" s="210">
        <v>18</v>
      </c>
      <c r="BT65" s="210">
        <v>19</v>
      </c>
      <c r="BU65" s="210">
        <v>20</v>
      </c>
      <c r="BV65" s="224" t="s">
        <v>165</v>
      </c>
      <c r="BW65" s="210" t="s">
        <v>166</v>
      </c>
      <c r="BX65" s="210" t="s">
        <v>167</v>
      </c>
    </row>
    <row r="66" spans="1:76" s="97" customFormat="1" ht="15.45" customHeight="1" x14ac:dyDescent="0.3">
      <c r="B66" s="292">
        <v>1</v>
      </c>
      <c r="C66" s="413" t="str">
        <f t="shared" ref="C66:C85" si="12">IF(D66="","",C11)</f>
        <v/>
      </c>
      <c r="D66" s="414" t="str">
        <f t="shared" ref="D66:D85" si="13">IF(OR(K11="", K11=0),"",D11)</f>
        <v/>
      </c>
      <c r="E66" s="415" t="str">
        <f t="shared" ref="E66:E85" si="14">IF(AX66="","",AX66)</f>
        <v/>
      </c>
      <c r="F66" s="876"/>
      <c r="G66" s="877"/>
      <c r="H66" s="416" t="str">
        <f t="shared" ref="H66:H85" si="15">IF(D66="","",AB66)</f>
        <v/>
      </c>
      <c r="I66" s="417" t="str">
        <f t="shared" ref="I66:I85" si="16">IF(OR(K11="", K11=0),"",K11)</f>
        <v/>
      </c>
      <c r="J66" s="878" t="str">
        <f>IFERROR(IF(F66="","",VLOOKUP(F66,'10. Condition and Temporal'!$B$6:$F$103,5,FALSE)), "Error ▲")</f>
        <v/>
      </c>
      <c r="K66" s="879"/>
      <c r="L66" s="35" t="str">
        <f t="shared" ref="L66:L85" si="17">IFERROR(IF(D66="","",IF(AX66="Distinctiveness",(((((I66*AH66*AJ66)-(I66*V66*X66))*(AV66*AT66))+(I66*V66*X66))*AP66/1000),((((I66*AH66*AJ66)-(I66*V66*X66))*(AV66*AR66))+(I66*V66*X66))*AP66/1000)),"This intervention is not permitted within the SSM ▲")</f>
        <v/>
      </c>
      <c r="M66" s="880" t="str">
        <f t="shared" ref="M66:M85" si="18">IFERROR(IF(F66="","",L66-AD66), "Error ▲")</f>
        <v/>
      </c>
      <c r="N66" s="881"/>
      <c r="O66" s="247"/>
      <c r="P66" s="186"/>
      <c r="R66" s="649"/>
      <c r="T66" s="218" t="str">
        <f t="shared" ref="T66:T85" si="19">IF(D66="","",K11)</f>
        <v/>
      </c>
      <c r="U66" s="159" t="str">
        <f t="shared" ref="U66:U85" si="20">IF($D66="","",T11)</f>
        <v/>
      </c>
      <c r="V66" s="160" t="str">
        <f t="shared" ref="V66:X85" si="21">IF($D66="","",V11)</f>
        <v/>
      </c>
      <c r="W66" s="159" t="str">
        <f t="shared" si="21"/>
        <v/>
      </c>
      <c r="X66" s="60" t="str">
        <f t="shared" si="21"/>
        <v/>
      </c>
      <c r="Y66" s="350"/>
      <c r="Z66" s="350"/>
      <c r="AA66" s="350"/>
      <c r="AB66" s="60" t="str">
        <f t="shared" ref="AB66:AB85" si="22">IF($D66="","",AB11)</f>
        <v/>
      </c>
      <c r="AC66" s="161" t="str">
        <f t="shared" ref="AC66:AC85" si="23">IF($D66="","",AD11)</f>
        <v/>
      </c>
      <c r="AD66" s="160" t="str">
        <f t="shared" ref="AD66:AD85" si="24">IF(AC66="","",(T66*V66*X66)*AC66/1000)</f>
        <v/>
      </c>
      <c r="AE66" s="220" t="str">
        <f t="shared" ref="AE66:AE85" si="25">IF(AD66="","",IF(AH66&lt;V66,"Not Acceptable","Acceptable"))</f>
        <v/>
      </c>
      <c r="AF66" s="158" t="str">
        <f t="shared" ref="AF66:AF85" si="26">IF(D66="","",I66)</f>
        <v/>
      </c>
      <c r="AG66" s="159" t="str">
        <f>IF(D66="","",VLOOKUP(F66,'9. All Habitats + Multipliers'!$C$4:$K$102,5,FALSE))</f>
        <v/>
      </c>
      <c r="AH66" s="160" t="str">
        <f>IF(AG66="","",VLOOKUP(AG66,'11. Lists'!$S$47:$U$50,2,FALSE))</f>
        <v/>
      </c>
      <c r="AI66" s="158" t="str">
        <f t="shared" ref="AI66:AI85" si="27">IF(D66="","",J66)</f>
        <v/>
      </c>
      <c r="AJ66" s="61" t="str">
        <f>IF(AI66="","",VLOOKUP(AI66,'11. Lists'!$F$47:$G$51,2,FALSE))</f>
        <v/>
      </c>
      <c r="AK66" s="350"/>
      <c r="AL66" s="350"/>
      <c r="AM66" s="350"/>
      <c r="AN66" s="148" t="str">
        <f t="shared" ref="AN66:AN85" si="28">IF(H66="","",H66)</f>
        <v/>
      </c>
      <c r="AO66" s="162" t="str">
        <f>IF(AN66="","",VLOOKUP(AN66,'11. Lists'!$F$36:$H$38,2,FALSE))</f>
        <v/>
      </c>
      <c r="AP66" s="160" t="str">
        <f>IF(AN66="","",VLOOKUP(AN66,'11. Lists'!$F$36:$H$38,3,FALSE))</f>
        <v/>
      </c>
      <c r="AQ66" s="159" t="str">
        <f>IF(D66="","",IF(AX66="Distinctiveness","N/A",VLOOKUP(F66,'10. Condition and Temporal'!$B$6:$L$103,11,FALSE)))</f>
        <v/>
      </c>
      <c r="AR66" s="163" t="str">
        <f>IF(AQ66="","",IF(AQ66="N/A","1",VLOOKUP(AQ66,'11. Lists'!$I$47:$K$80,3,FALSE)))</f>
        <v/>
      </c>
      <c r="AS66" s="178" t="str">
        <f>IF(D66="","",IF(AX66="Condition","N/A",VLOOKUP(F66,'10. Condition and Temporal'!$B$6:$M$106,12,FALSE)))</f>
        <v/>
      </c>
      <c r="AT66" s="163" t="str">
        <f>IF(AS66="","",IF(AS66="N/A","1",VLOOKUP(AS66,'11. Lists'!$I$47:$K$80,3,FALSE)))</f>
        <v/>
      </c>
      <c r="AU66" s="162" t="str">
        <f>IF(D66="","",VLOOKUP(F66,'9. All Habitats + Multipliers'!$C$4:$K$102,8,FALSE))</f>
        <v/>
      </c>
      <c r="AV66" s="160" t="str">
        <f>IF(AU66="","",VLOOKUP(AU66,'11. Lists'!$J$35:$K$38,2,FALSE))</f>
        <v/>
      </c>
      <c r="AW66" s="159" t="str">
        <f>IF(D66="","",VLOOKUP(D66,'10. Condition and Temporal'!$B$6:$M$103,4,FALSE))</f>
        <v/>
      </c>
      <c r="AX66" s="160" t="str">
        <f t="shared" ref="AX66:AX85" si="29">IF(F66="","",IF(D66=F66,"Condition","Distinctiveness"))</f>
        <v/>
      </c>
      <c r="AZ66" s="236"/>
      <c r="BA66" s="61">
        <v>1</v>
      </c>
      <c r="BB66" s="60" t="str">
        <f t="shared" ref="BB66:BB85" si="30">TRIM(MID(SUBSTITUTE($AW$66,$BA$62,REPT(" ",LEN($AW$66))),($BA66-1)*LEN($AW$66)+1,LEN($AW$66)))</f>
        <v/>
      </c>
      <c r="BC66" s="60" t="str">
        <f t="shared" ref="BC66:BC85" si="31">TRIM(MID(SUBSTITUTE($AW$67,$BA$62,REPT(" ",LEN($AW$67))),($BA66-1)*LEN($AW$67)+1,LEN($AW$67)))</f>
        <v/>
      </c>
      <c r="BD66" s="60" t="str">
        <f t="shared" ref="BD66:BD85" si="32">TRIM(MID(SUBSTITUTE($AW$68,$BA$62,REPT(" ",LEN($AW$68))),($BA66-1)*LEN($AW$68)+1,LEN($AW$68)))</f>
        <v/>
      </c>
      <c r="BE66" s="60" t="str">
        <f t="shared" ref="BE66:BE85" si="33">TRIM(MID(SUBSTITUTE($AW$69,$BA$62,REPT(" ",LEN($AW$69))),($BA66-1)*LEN($AW$69)+1,LEN($AW$69)))</f>
        <v/>
      </c>
      <c r="BF66" s="60" t="str">
        <f t="shared" ref="BF66:BF85" si="34">TRIM(MID(SUBSTITUTE($AW$70,$BA$62,REPT(" ",LEN($AW$70))),($BA66-1)*LEN($AW$70)+1,LEN($AW$70)))</f>
        <v/>
      </c>
      <c r="BG66" s="60" t="str">
        <f t="shared" ref="BG66:BG85" si="35">TRIM(MID(SUBSTITUTE($AW$71,$BA$62,REPT(" ",LEN($AW$71))),($BA66-1)*LEN($AW$71)+1,LEN($AW$71)))</f>
        <v/>
      </c>
      <c r="BH66" s="60" t="str">
        <f t="shared" ref="BH66:BH85" si="36">TRIM(MID(SUBSTITUTE($AW$72,$BA$62,REPT(" ",LEN($AW$72))),($BA66-1)*LEN($AW$72)+1,LEN($AW$72)))</f>
        <v/>
      </c>
      <c r="BI66" s="60" t="str">
        <f t="shared" ref="BI66:BI85" si="37">TRIM(MID(SUBSTITUTE($AW$73,$BA$62,REPT(" ",LEN($AW$73))),($BA66-1)*LEN($AW$73)+1,LEN($AW$73)))</f>
        <v/>
      </c>
      <c r="BJ66" s="60" t="str">
        <f t="shared" ref="BJ66:BJ85" si="38">TRIM(MID(SUBSTITUTE($AW$74,$BA$62,REPT(" ",LEN($AW$74))),($BA66-1)*LEN($AW$74)+1,LEN($AW$74)))</f>
        <v/>
      </c>
      <c r="BK66" s="60" t="str">
        <f t="shared" ref="BK66:BK85" si="39">TRIM(MID(SUBSTITUTE($AW$75,$BA$62,REPT(" ",LEN($AW$75))),($BA66-1)*LEN($AW$75)+1,LEN($AW$75)))</f>
        <v/>
      </c>
      <c r="BL66" s="60" t="str">
        <f t="shared" ref="BL66:BL85" si="40">TRIM(MID(SUBSTITUTE($AW$76,$BA$62,REPT(" ",LEN($AW$76))),($BA66-1)*LEN($AW$76)+1,LEN($AW$76)))</f>
        <v/>
      </c>
      <c r="BM66" s="60" t="str">
        <f t="shared" ref="BM66:BM85" si="41">TRIM(MID(SUBSTITUTE($AW$77,$BA$62,REPT(" ",LEN($AW$77))),($BA66-1)*LEN($AW$77)+1,LEN($AW$77)))</f>
        <v/>
      </c>
      <c r="BN66" s="60" t="str">
        <f t="shared" ref="BN66:BN85" si="42">TRIM(MID(SUBSTITUTE($AW$78,$BA$62,REPT(" ",LEN($AW$78))),($BA66-1)*LEN($AW$78)+1,LEN($AW$78)))</f>
        <v/>
      </c>
      <c r="BO66" s="60" t="str">
        <f t="shared" ref="BO66:BO85" si="43">TRIM(MID(SUBSTITUTE($AW$79,$BA$62,REPT(" ",LEN($AW$79))),($BA66-1)*LEN($AW$79)+1,LEN($AW$79)))</f>
        <v/>
      </c>
      <c r="BP66" s="60" t="str">
        <f t="shared" ref="BP66:BP85" si="44">TRIM(MID(SUBSTITUTE($AW$80,$BA$62,REPT(" ",LEN($AW$80))),($BA66-1)*LEN($AW$80)+1,LEN($AW$80)))</f>
        <v/>
      </c>
      <c r="BQ66" s="60" t="str">
        <f t="shared" ref="BQ66:BQ85" si="45">TRIM(MID(SUBSTITUTE($AW$81,$BA$62,REPT(" ",LEN($AW$81))),($BA66-1)*LEN($AW$81)+1,LEN($AW$81)))</f>
        <v/>
      </c>
      <c r="BR66" s="60" t="str">
        <f t="shared" ref="BR66:BR85" si="46">TRIM(MID(SUBSTITUTE($AW$82,$BA$62,REPT(" ",LEN($AW$82))),($BA66-1)*LEN($AW$82)+1,LEN($AW$82)))</f>
        <v/>
      </c>
      <c r="BS66" s="60" t="str">
        <f t="shared" ref="BS66:BS85" si="47">TRIM(MID(SUBSTITUTE($AW$83,$BA$62,REPT(" ",LEN($AW$83))),($BA66-1)*LEN($AW$83)+1,LEN($AW$83)))</f>
        <v/>
      </c>
      <c r="BT66" s="60" t="str">
        <f t="shared" ref="BT66:BT85" si="48">TRIM(MID(SUBSTITUTE($AW$84,$BA$62,REPT(" ",LEN($AW$84))),($BA66-1)*LEN($AW$84)+1,LEN($AW$84)))</f>
        <v/>
      </c>
      <c r="BU66" s="148" t="str">
        <f t="shared" ref="BU66:BU85" si="49">TRIM(MID(SUBSTITUTE($AW$85,$BA$62,REPT(" ",LEN($AW$85))),($BA66-1)*LEN($AW$85)+1,LEN($AW$85)))</f>
        <v/>
      </c>
      <c r="BV66" s="225" t="str">
        <f t="shared" ref="BV66:BV85" si="50">IF(BX66=0,"",CONCATENATE(BW66,"66:",BW66,BX66+65))</f>
        <v/>
      </c>
      <c r="BW66" s="60" t="s">
        <v>168</v>
      </c>
      <c r="BX66" s="60">
        <f>BB64</f>
        <v>0</v>
      </c>
    </row>
    <row r="67" spans="1:76" s="97" customFormat="1" ht="15.45" customHeight="1" x14ac:dyDescent="0.3">
      <c r="B67" s="286">
        <v>2</v>
      </c>
      <c r="C67" s="164" t="str">
        <f t="shared" si="12"/>
        <v/>
      </c>
      <c r="D67" s="238" t="str">
        <f t="shared" si="13"/>
        <v/>
      </c>
      <c r="E67" s="208" t="str">
        <f t="shared" si="14"/>
        <v/>
      </c>
      <c r="F67" s="733"/>
      <c r="G67" s="734"/>
      <c r="H67" s="205" t="str">
        <f t="shared" si="15"/>
        <v/>
      </c>
      <c r="I67" s="334" t="str">
        <f t="shared" si="16"/>
        <v/>
      </c>
      <c r="J67" s="871" t="str">
        <f>IFERROR(IF(F67="","",VLOOKUP(F67,'10. Condition and Temporal'!$B$6:$F$103,5,FALSE)), "Error ▲")</f>
        <v/>
      </c>
      <c r="K67" s="872"/>
      <c r="L67" s="305" t="str">
        <f t="shared" si="17"/>
        <v/>
      </c>
      <c r="M67" s="784" t="str">
        <f t="shared" si="18"/>
        <v/>
      </c>
      <c r="N67" s="873"/>
      <c r="O67" s="133"/>
      <c r="P67" s="85"/>
      <c r="R67" s="649"/>
      <c r="T67" s="218" t="str">
        <f t="shared" si="19"/>
        <v/>
      </c>
      <c r="U67" s="159" t="str">
        <f t="shared" si="20"/>
        <v/>
      </c>
      <c r="V67" s="160" t="str">
        <f t="shared" si="21"/>
        <v/>
      </c>
      <c r="W67" s="159" t="str">
        <f t="shared" si="21"/>
        <v/>
      </c>
      <c r="X67" s="60" t="str">
        <f t="shared" si="21"/>
        <v/>
      </c>
      <c r="Y67" s="350"/>
      <c r="Z67" s="350"/>
      <c r="AA67" s="350"/>
      <c r="AB67" s="60" t="str">
        <f t="shared" si="22"/>
        <v/>
      </c>
      <c r="AC67" s="161" t="str">
        <f t="shared" si="23"/>
        <v/>
      </c>
      <c r="AD67" s="160" t="str">
        <f t="shared" si="24"/>
        <v/>
      </c>
      <c r="AE67" s="220" t="str">
        <f t="shared" si="25"/>
        <v/>
      </c>
      <c r="AF67" s="158" t="str">
        <f t="shared" si="26"/>
        <v/>
      </c>
      <c r="AG67" s="159" t="str">
        <f>IF(D67="","",VLOOKUP(F67,'9. All Habitats + Multipliers'!$C$4:$K$102,5,FALSE))</f>
        <v/>
      </c>
      <c r="AH67" s="160" t="str">
        <f>IF(AG67="","",VLOOKUP(AG67,'11. Lists'!$S$47:$U$50,2,FALSE))</f>
        <v/>
      </c>
      <c r="AI67" s="158" t="str">
        <f t="shared" si="27"/>
        <v/>
      </c>
      <c r="AJ67" s="61" t="str">
        <f>IF(AI67="","",VLOOKUP(AI67,'11. Lists'!$F$47:$G$51,2,FALSE))</f>
        <v/>
      </c>
      <c r="AK67" s="350"/>
      <c r="AL67" s="350"/>
      <c r="AM67" s="350"/>
      <c r="AN67" s="148" t="str">
        <f t="shared" si="28"/>
        <v/>
      </c>
      <c r="AO67" s="162" t="str">
        <f>IF(AN67="","",VLOOKUP(AN67,'11. Lists'!$F$36:$H$38,2,FALSE))</f>
        <v/>
      </c>
      <c r="AP67" s="160" t="str">
        <f>IF(AN67="","",VLOOKUP(AN67,'11. Lists'!$F$36:$H$38,3,FALSE))</f>
        <v/>
      </c>
      <c r="AQ67" s="159" t="str">
        <f>IF(D67="","",IF(AX67="Distinctiveness","N/A",VLOOKUP(F67,'10. Condition and Temporal'!$B$6:$L$103,11,FALSE)))</f>
        <v/>
      </c>
      <c r="AR67" s="163" t="str">
        <f>IF(AQ67="","",IF(AQ67="N/A","1",VLOOKUP(AQ67,'11. Lists'!$I$47:$K$80,3,FALSE)))</f>
        <v/>
      </c>
      <c r="AS67" s="178" t="str">
        <f>IF(D67="","",IF(AX67="Condition","N/A",VLOOKUP(F67,'10. Condition and Temporal'!$B$6:$M$106,12,FALSE)))</f>
        <v/>
      </c>
      <c r="AT67" s="163" t="str">
        <f>IF(AS67="","",IF(AS67="N/A","1",VLOOKUP(AS67,'11. Lists'!$I$47:$K$80,3,FALSE)))</f>
        <v/>
      </c>
      <c r="AU67" s="162" t="str">
        <f>IF(D67="","",VLOOKUP(F67,'9. All Habitats + Multipliers'!$C$4:$K$102,8,FALSE))</f>
        <v/>
      </c>
      <c r="AV67" s="160" t="str">
        <f>IF(AU67="","",VLOOKUP(AU67,'11. Lists'!$J$35:$K$38,2,FALSE))</f>
        <v/>
      </c>
      <c r="AW67" s="159" t="str">
        <f>IF(D67="","",VLOOKUP(D67,'10. Condition and Temporal'!$B$6:$M$103,4,FALSE))</f>
        <v/>
      </c>
      <c r="AX67" s="160" t="str">
        <f t="shared" si="29"/>
        <v/>
      </c>
      <c r="AZ67" s="236"/>
      <c r="BA67" s="61">
        <v>2</v>
      </c>
      <c r="BB67" s="60" t="str">
        <f t="shared" si="30"/>
        <v/>
      </c>
      <c r="BC67" s="60" t="str">
        <f t="shared" si="31"/>
        <v/>
      </c>
      <c r="BD67" s="60" t="str">
        <f t="shared" si="32"/>
        <v/>
      </c>
      <c r="BE67" s="60" t="str">
        <f t="shared" si="33"/>
        <v/>
      </c>
      <c r="BF67" s="60" t="str">
        <f t="shared" si="34"/>
        <v/>
      </c>
      <c r="BG67" s="60" t="str">
        <f t="shared" si="35"/>
        <v/>
      </c>
      <c r="BH67" s="60" t="str">
        <f t="shared" si="36"/>
        <v/>
      </c>
      <c r="BI67" s="60" t="str">
        <f t="shared" si="37"/>
        <v/>
      </c>
      <c r="BJ67" s="60" t="str">
        <f t="shared" si="38"/>
        <v/>
      </c>
      <c r="BK67" s="60" t="str">
        <f t="shared" si="39"/>
        <v/>
      </c>
      <c r="BL67" s="60" t="str">
        <f t="shared" si="40"/>
        <v/>
      </c>
      <c r="BM67" s="60" t="str">
        <f t="shared" si="41"/>
        <v/>
      </c>
      <c r="BN67" s="60" t="str">
        <f t="shared" si="42"/>
        <v/>
      </c>
      <c r="BO67" s="60" t="str">
        <f t="shared" si="43"/>
        <v/>
      </c>
      <c r="BP67" s="60" t="str">
        <f t="shared" si="44"/>
        <v/>
      </c>
      <c r="BQ67" s="60" t="str">
        <f t="shared" si="45"/>
        <v/>
      </c>
      <c r="BR67" s="60" t="str">
        <f t="shared" si="46"/>
        <v/>
      </c>
      <c r="BS67" s="60" t="str">
        <f t="shared" si="47"/>
        <v/>
      </c>
      <c r="BT67" s="60" t="str">
        <f t="shared" si="48"/>
        <v/>
      </c>
      <c r="BU67" s="148" t="str">
        <f t="shared" si="49"/>
        <v/>
      </c>
      <c r="BV67" s="225" t="str">
        <f t="shared" si="50"/>
        <v/>
      </c>
      <c r="BW67" s="60" t="s">
        <v>169</v>
      </c>
      <c r="BX67" s="60">
        <f>BC64</f>
        <v>0</v>
      </c>
    </row>
    <row r="68" spans="1:76" s="97" customFormat="1" ht="15.45" customHeight="1" x14ac:dyDescent="0.3">
      <c r="B68" s="286">
        <v>3</v>
      </c>
      <c r="C68" s="164" t="str">
        <f t="shared" si="12"/>
        <v/>
      </c>
      <c r="D68" s="238" t="str">
        <f t="shared" si="13"/>
        <v/>
      </c>
      <c r="E68" s="208" t="str">
        <f t="shared" si="14"/>
        <v/>
      </c>
      <c r="F68" s="733"/>
      <c r="G68" s="734"/>
      <c r="H68" s="205" t="str">
        <f t="shared" si="15"/>
        <v/>
      </c>
      <c r="I68" s="334" t="str">
        <f t="shared" si="16"/>
        <v/>
      </c>
      <c r="J68" s="871" t="str">
        <f>IFERROR(IF(F68="","",VLOOKUP(F68,'10. Condition and Temporal'!$B$6:$F$103,5,FALSE)), "Error ▲")</f>
        <v/>
      </c>
      <c r="K68" s="872"/>
      <c r="L68" s="305" t="str">
        <f t="shared" si="17"/>
        <v/>
      </c>
      <c r="M68" s="784" t="str">
        <f t="shared" si="18"/>
        <v/>
      </c>
      <c r="N68" s="873"/>
      <c r="O68" s="133"/>
      <c r="P68" s="85"/>
      <c r="R68" s="649"/>
      <c r="T68" s="218" t="str">
        <f t="shared" si="19"/>
        <v/>
      </c>
      <c r="U68" s="159" t="str">
        <f t="shared" si="20"/>
        <v/>
      </c>
      <c r="V68" s="160" t="str">
        <f t="shared" si="21"/>
        <v/>
      </c>
      <c r="W68" s="159" t="str">
        <f t="shared" si="21"/>
        <v/>
      </c>
      <c r="X68" s="60" t="str">
        <f t="shared" si="21"/>
        <v/>
      </c>
      <c r="Y68" s="350"/>
      <c r="Z68" s="350"/>
      <c r="AA68" s="350"/>
      <c r="AB68" s="60" t="str">
        <f t="shared" si="22"/>
        <v/>
      </c>
      <c r="AC68" s="161" t="str">
        <f t="shared" si="23"/>
        <v/>
      </c>
      <c r="AD68" s="160" t="str">
        <f t="shared" si="24"/>
        <v/>
      </c>
      <c r="AE68" s="220" t="str">
        <f t="shared" si="25"/>
        <v/>
      </c>
      <c r="AF68" s="158" t="str">
        <f t="shared" si="26"/>
        <v/>
      </c>
      <c r="AG68" s="159" t="str">
        <f>IF(D68="","",VLOOKUP(F68,'9. All Habitats + Multipliers'!$C$4:$K$102,5,FALSE))</f>
        <v/>
      </c>
      <c r="AH68" s="160" t="str">
        <f>IF(AG68="","",VLOOKUP(AG68,'11. Lists'!$S$47:$U$50,2,FALSE))</f>
        <v/>
      </c>
      <c r="AI68" s="158" t="str">
        <f t="shared" si="27"/>
        <v/>
      </c>
      <c r="AJ68" s="61" t="str">
        <f>IF(AI68="","",VLOOKUP(AI68,'11. Lists'!$F$47:$G$51,2,FALSE))</f>
        <v/>
      </c>
      <c r="AK68" s="350"/>
      <c r="AL68" s="350"/>
      <c r="AM68" s="350"/>
      <c r="AN68" s="148" t="str">
        <f t="shared" si="28"/>
        <v/>
      </c>
      <c r="AO68" s="162" t="str">
        <f>IF(AN68="","",VLOOKUP(AN68,'11. Lists'!$F$36:$H$38,2,FALSE))</f>
        <v/>
      </c>
      <c r="AP68" s="160" t="str">
        <f>IF(AN68="","",VLOOKUP(AN68,'11. Lists'!$F$36:$H$38,3,FALSE))</f>
        <v/>
      </c>
      <c r="AQ68" s="159" t="str">
        <f>IF(D68="","",IF(AX68="Distinctiveness","N/A",VLOOKUP(F68,'10. Condition and Temporal'!$B$6:$L$103,11,FALSE)))</f>
        <v/>
      </c>
      <c r="AR68" s="163" t="str">
        <f>IF(AQ68="","",IF(AQ68="N/A","1",VLOOKUP(AQ68,'11. Lists'!$I$47:$K$80,3,FALSE)))</f>
        <v/>
      </c>
      <c r="AS68" s="178" t="str">
        <f>IF(D68="","",IF(AX68="Condition","N/A",VLOOKUP(F68,'10. Condition and Temporal'!$B$6:$M$106,12,FALSE)))</f>
        <v/>
      </c>
      <c r="AT68" s="163" t="str">
        <f>IF(AS68="","",IF(AS68="N/A","1",VLOOKUP(AS68,'11. Lists'!$I$47:$K$80,3,FALSE)))</f>
        <v/>
      </c>
      <c r="AU68" s="162" t="str">
        <f>IF(D68="","",VLOOKUP(F68,'9. All Habitats + Multipliers'!$C$4:$K$102,8,FALSE))</f>
        <v/>
      </c>
      <c r="AV68" s="160" t="str">
        <f>IF(AU68="","",VLOOKUP(AU68,'11. Lists'!$J$35:$K$38,2,FALSE))</f>
        <v/>
      </c>
      <c r="AW68" s="159" t="str">
        <f>IF(D68="","",VLOOKUP(D68,'10. Condition and Temporal'!$B$6:$M$103,4,FALSE))</f>
        <v/>
      </c>
      <c r="AX68" s="160" t="str">
        <f t="shared" si="29"/>
        <v/>
      </c>
      <c r="AZ68" s="236"/>
      <c r="BA68" s="61">
        <v>3</v>
      </c>
      <c r="BB68" s="60" t="str">
        <f t="shared" si="30"/>
        <v/>
      </c>
      <c r="BC68" s="60" t="str">
        <f t="shared" si="31"/>
        <v/>
      </c>
      <c r="BD68" s="60" t="str">
        <f t="shared" si="32"/>
        <v/>
      </c>
      <c r="BE68" s="60" t="str">
        <f t="shared" si="33"/>
        <v/>
      </c>
      <c r="BF68" s="60" t="str">
        <f t="shared" si="34"/>
        <v/>
      </c>
      <c r="BG68" s="60" t="str">
        <f t="shared" si="35"/>
        <v/>
      </c>
      <c r="BH68" s="60" t="str">
        <f t="shared" si="36"/>
        <v/>
      </c>
      <c r="BI68" s="60" t="str">
        <f t="shared" si="37"/>
        <v/>
      </c>
      <c r="BJ68" s="60" t="str">
        <f t="shared" si="38"/>
        <v/>
      </c>
      <c r="BK68" s="60" t="str">
        <f t="shared" si="39"/>
        <v/>
      </c>
      <c r="BL68" s="60" t="str">
        <f t="shared" si="40"/>
        <v/>
      </c>
      <c r="BM68" s="60" t="str">
        <f t="shared" si="41"/>
        <v/>
      </c>
      <c r="BN68" s="60" t="str">
        <f t="shared" si="42"/>
        <v/>
      </c>
      <c r="BO68" s="60" t="str">
        <f t="shared" si="43"/>
        <v/>
      </c>
      <c r="BP68" s="60" t="str">
        <f t="shared" si="44"/>
        <v/>
      </c>
      <c r="BQ68" s="60" t="str">
        <f t="shared" si="45"/>
        <v/>
      </c>
      <c r="BR68" s="60" t="str">
        <f t="shared" si="46"/>
        <v/>
      </c>
      <c r="BS68" s="60" t="str">
        <f t="shared" si="47"/>
        <v/>
      </c>
      <c r="BT68" s="60" t="str">
        <f t="shared" si="48"/>
        <v/>
      </c>
      <c r="BU68" s="148" t="str">
        <f t="shared" si="49"/>
        <v/>
      </c>
      <c r="BV68" s="225" t="str">
        <f t="shared" si="50"/>
        <v/>
      </c>
      <c r="BW68" s="60" t="s">
        <v>170</v>
      </c>
      <c r="BX68" s="60">
        <f>BD64</f>
        <v>0</v>
      </c>
    </row>
    <row r="69" spans="1:76" s="97" customFormat="1" ht="15.45" customHeight="1" x14ac:dyDescent="0.3">
      <c r="B69" s="286">
        <v>4</v>
      </c>
      <c r="C69" s="164" t="str">
        <f t="shared" si="12"/>
        <v/>
      </c>
      <c r="D69" s="238" t="str">
        <f t="shared" si="13"/>
        <v/>
      </c>
      <c r="E69" s="208" t="str">
        <f t="shared" si="14"/>
        <v/>
      </c>
      <c r="F69" s="733"/>
      <c r="G69" s="734"/>
      <c r="H69" s="205" t="str">
        <f t="shared" si="15"/>
        <v/>
      </c>
      <c r="I69" s="334" t="str">
        <f t="shared" si="16"/>
        <v/>
      </c>
      <c r="J69" s="871" t="str">
        <f>IFERROR(IF(F69="","",VLOOKUP(F69,'10. Condition and Temporal'!$B$6:$F$103,5,FALSE)), "Error ▲")</f>
        <v/>
      </c>
      <c r="K69" s="872"/>
      <c r="L69" s="305" t="str">
        <f t="shared" si="17"/>
        <v/>
      </c>
      <c r="M69" s="784" t="str">
        <f t="shared" si="18"/>
        <v/>
      </c>
      <c r="N69" s="873"/>
      <c r="O69" s="133"/>
      <c r="P69" s="85"/>
      <c r="R69" s="649"/>
      <c r="T69" s="218" t="str">
        <f t="shared" si="19"/>
        <v/>
      </c>
      <c r="U69" s="159" t="str">
        <f t="shared" si="20"/>
        <v/>
      </c>
      <c r="V69" s="160" t="str">
        <f t="shared" si="21"/>
        <v/>
      </c>
      <c r="W69" s="159" t="str">
        <f t="shared" si="21"/>
        <v/>
      </c>
      <c r="X69" s="60" t="str">
        <f t="shared" si="21"/>
        <v/>
      </c>
      <c r="Y69" s="350"/>
      <c r="Z69" s="350"/>
      <c r="AA69" s="350"/>
      <c r="AB69" s="60" t="str">
        <f t="shared" si="22"/>
        <v/>
      </c>
      <c r="AC69" s="161" t="str">
        <f t="shared" si="23"/>
        <v/>
      </c>
      <c r="AD69" s="160" t="str">
        <f t="shared" si="24"/>
        <v/>
      </c>
      <c r="AE69" s="220" t="str">
        <f t="shared" si="25"/>
        <v/>
      </c>
      <c r="AF69" s="158" t="str">
        <f t="shared" si="26"/>
        <v/>
      </c>
      <c r="AG69" s="159" t="str">
        <f>IF(D69="","",VLOOKUP(F69,'9. All Habitats + Multipliers'!$C$4:$K$102,5,FALSE))</f>
        <v/>
      </c>
      <c r="AH69" s="160" t="str">
        <f>IF(AG69="","",VLOOKUP(AG69,'11. Lists'!$S$47:$U$50,2,FALSE))</f>
        <v/>
      </c>
      <c r="AI69" s="158" t="str">
        <f t="shared" si="27"/>
        <v/>
      </c>
      <c r="AJ69" s="61" t="str">
        <f>IF(AI69="","",VLOOKUP(AI69,'11. Lists'!$F$47:$G$51,2,FALSE))</f>
        <v/>
      </c>
      <c r="AK69" s="350"/>
      <c r="AL69" s="350"/>
      <c r="AM69" s="350"/>
      <c r="AN69" s="148" t="str">
        <f t="shared" si="28"/>
        <v/>
      </c>
      <c r="AO69" s="162" t="str">
        <f>IF(AN69="","",VLOOKUP(AN69,'11. Lists'!$F$36:$H$38,2,FALSE))</f>
        <v/>
      </c>
      <c r="AP69" s="160" t="str">
        <f>IF(AN69="","",VLOOKUP(AN69,'11. Lists'!$F$36:$H$38,3,FALSE))</f>
        <v/>
      </c>
      <c r="AQ69" s="159" t="str">
        <f>IF(D69="","",IF(AX69="Distinctiveness","N/A",VLOOKUP(F69,'10. Condition and Temporal'!$B$6:$L$103,11,FALSE)))</f>
        <v/>
      </c>
      <c r="AR69" s="163" t="str">
        <f>IF(AQ69="","",IF(AQ69="N/A","1",VLOOKUP(AQ69,'11. Lists'!$I$47:$K$80,3,FALSE)))</f>
        <v/>
      </c>
      <c r="AS69" s="178" t="str">
        <f>IF(D69="","",IF(AX69="Condition","N/A",VLOOKUP(F69,'10. Condition and Temporal'!$B$6:$M$106,12,FALSE)))</f>
        <v/>
      </c>
      <c r="AT69" s="163" t="str">
        <f>IF(AS69="","",IF(AS69="N/A","1",VLOOKUP(AS69,'11. Lists'!$I$47:$K$80,3,FALSE)))</f>
        <v/>
      </c>
      <c r="AU69" s="162" t="str">
        <f>IF(D69="","",VLOOKUP(F69,'9. All Habitats + Multipliers'!$C$4:$K$102,8,FALSE))</f>
        <v/>
      </c>
      <c r="AV69" s="160" t="str">
        <f>IF(AU69="","",VLOOKUP(AU69,'11. Lists'!$J$35:$K$38,2,FALSE))</f>
        <v/>
      </c>
      <c r="AW69" s="159" t="str">
        <f>IF(D69="","",VLOOKUP(D69,'10. Condition and Temporal'!$B$6:$M$103,4,FALSE))</f>
        <v/>
      </c>
      <c r="AX69" s="160" t="str">
        <f t="shared" si="29"/>
        <v/>
      </c>
      <c r="AZ69" s="236"/>
      <c r="BA69" s="61">
        <v>4</v>
      </c>
      <c r="BB69" s="60" t="str">
        <f t="shared" si="30"/>
        <v/>
      </c>
      <c r="BC69" s="60" t="str">
        <f t="shared" si="31"/>
        <v/>
      </c>
      <c r="BD69" s="60" t="str">
        <f t="shared" si="32"/>
        <v/>
      </c>
      <c r="BE69" s="60" t="str">
        <f t="shared" si="33"/>
        <v/>
      </c>
      <c r="BF69" s="60" t="str">
        <f t="shared" si="34"/>
        <v/>
      </c>
      <c r="BG69" s="60" t="str">
        <f t="shared" si="35"/>
        <v/>
      </c>
      <c r="BH69" s="60" t="str">
        <f t="shared" si="36"/>
        <v/>
      </c>
      <c r="BI69" s="60" t="str">
        <f t="shared" si="37"/>
        <v/>
      </c>
      <c r="BJ69" s="60" t="str">
        <f t="shared" si="38"/>
        <v/>
      </c>
      <c r="BK69" s="60" t="str">
        <f t="shared" si="39"/>
        <v/>
      </c>
      <c r="BL69" s="60" t="str">
        <f t="shared" si="40"/>
        <v/>
      </c>
      <c r="BM69" s="60" t="str">
        <f t="shared" si="41"/>
        <v/>
      </c>
      <c r="BN69" s="60" t="str">
        <f t="shared" si="42"/>
        <v/>
      </c>
      <c r="BO69" s="60" t="str">
        <f t="shared" si="43"/>
        <v/>
      </c>
      <c r="BP69" s="60" t="str">
        <f t="shared" si="44"/>
        <v/>
      </c>
      <c r="BQ69" s="60" t="str">
        <f t="shared" si="45"/>
        <v/>
      </c>
      <c r="BR69" s="60" t="str">
        <f t="shared" si="46"/>
        <v/>
      </c>
      <c r="BS69" s="60" t="str">
        <f t="shared" si="47"/>
        <v/>
      </c>
      <c r="BT69" s="60" t="str">
        <f t="shared" si="48"/>
        <v/>
      </c>
      <c r="BU69" s="148" t="str">
        <f t="shared" si="49"/>
        <v/>
      </c>
      <c r="BV69" s="225" t="str">
        <f t="shared" si="50"/>
        <v/>
      </c>
      <c r="BW69" s="60" t="s">
        <v>171</v>
      </c>
      <c r="BX69" s="60">
        <f>BE64</f>
        <v>0</v>
      </c>
    </row>
    <row r="70" spans="1:76" s="97" customFormat="1" ht="15.45" customHeight="1" x14ac:dyDescent="0.3">
      <c r="B70" s="286">
        <v>5</v>
      </c>
      <c r="C70" s="164" t="str">
        <f t="shared" si="12"/>
        <v/>
      </c>
      <c r="D70" s="238" t="str">
        <f t="shared" si="13"/>
        <v/>
      </c>
      <c r="E70" s="208" t="str">
        <f t="shared" si="14"/>
        <v/>
      </c>
      <c r="F70" s="733"/>
      <c r="G70" s="734"/>
      <c r="H70" s="205" t="str">
        <f t="shared" si="15"/>
        <v/>
      </c>
      <c r="I70" s="334" t="str">
        <f t="shared" si="16"/>
        <v/>
      </c>
      <c r="J70" s="871" t="str">
        <f>IFERROR(IF(F70="","",VLOOKUP(F70,'10. Condition and Temporal'!$B$6:$F$103,5,FALSE)), "Error ▲")</f>
        <v/>
      </c>
      <c r="K70" s="872"/>
      <c r="L70" s="305" t="str">
        <f t="shared" si="17"/>
        <v/>
      </c>
      <c r="M70" s="784" t="str">
        <f t="shared" si="18"/>
        <v/>
      </c>
      <c r="N70" s="873"/>
      <c r="O70" s="133"/>
      <c r="P70" s="85"/>
      <c r="R70" s="649"/>
      <c r="T70" s="218" t="str">
        <f t="shared" si="19"/>
        <v/>
      </c>
      <c r="U70" s="159" t="str">
        <f t="shared" si="20"/>
        <v/>
      </c>
      <c r="V70" s="160" t="str">
        <f t="shared" si="21"/>
        <v/>
      </c>
      <c r="W70" s="159" t="str">
        <f t="shared" si="21"/>
        <v/>
      </c>
      <c r="X70" s="60" t="str">
        <f t="shared" si="21"/>
        <v/>
      </c>
      <c r="Y70" s="350"/>
      <c r="Z70" s="350"/>
      <c r="AA70" s="350"/>
      <c r="AB70" s="60" t="str">
        <f t="shared" si="22"/>
        <v/>
      </c>
      <c r="AC70" s="161" t="str">
        <f t="shared" si="23"/>
        <v/>
      </c>
      <c r="AD70" s="160" t="str">
        <f t="shared" si="24"/>
        <v/>
      </c>
      <c r="AE70" s="220" t="str">
        <f t="shared" si="25"/>
        <v/>
      </c>
      <c r="AF70" s="158" t="str">
        <f t="shared" si="26"/>
        <v/>
      </c>
      <c r="AG70" s="159" t="str">
        <f>IF(D70="","",VLOOKUP(F70,'9. All Habitats + Multipliers'!$C$4:$K$102,5,FALSE))</f>
        <v/>
      </c>
      <c r="AH70" s="160" t="str">
        <f>IF(AG70="","",VLOOKUP(AG70,'11. Lists'!$S$47:$U$50,2,FALSE))</f>
        <v/>
      </c>
      <c r="AI70" s="158" t="str">
        <f t="shared" si="27"/>
        <v/>
      </c>
      <c r="AJ70" s="61" t="str">
        <f>IF(AI70="","",VLOOKUP(AI70,'11. Lists'!$F$47:$G$51,2,FALSE))</f>
        <v/>
      </c>
      <c r="AK70" s="350"/>
      <c r="AL70" s="350"/>
      <c r="AM70" s="350"/>
      <c r="AN70" s="148" t="str">
        <f t="shared" si="28"/>
        <v/>
      </c>
      <c r="AO70" s="162" t="str">
        <f>IF(AN70="","",VLOOKUP(AN70,'11. Lists'!$F$36:$H$38,2,FALSE))</f>
        <v/>
      </c>
      <c r="AP70" s="160" t="str">
        <f>IF(AN70="","",VLOOKUP(AN70,'11. Lists'!$F$36:$H$38,3,FALSE))</f>
        <v/>
      </c>
      <c r="AQ70" s="159" t="str">
        <f>IF(D70="","",IF(AX70="Distinctiveness","N/A",VLOOKUP(F70,'10. Condition and Temporal'!$B$6:$L$103,11,FALSE)))</f>
        <v/>
      </c>
      <c r="AR70" s="163" t="str">
        <f>IF(AQ70="","",IF(AQ70="N/A","1",VLOOKUP(AQ70,'11. Lists'!$I$47:$K$80,3,FALSE)))</f>
        <v/>
      </c>
      <c r="AS70" s="178" t="str">
        <f>IF(D70="","",IF(AX70="Condition","N/A",VLOOKUP(F70,'10. Condition and Temporal'!$B$6:$M$106,12,FALSE)))</f>
        <v/>
      </c>
      <c r="AT70" s="163" t="str">
        <f>IF(AS70="","",IF(AS70="N/A","1",VLOOKUP(AS70,'11. Lists'!$I$47:$K$80,3,FALSE)))</f>
        <v/>
      </c>
      <c r="AU70" s="162" t="str">
        <f>IF(D70="","",VLOOKUP(F70,'9. All Habitats + Multipliers'!$C$4:$K$102,8,FALSE))</f>
        <v/>
      </c>
      <c r="AV70" s="160" t="str">
        <f>IF(AU70="","",VLOOKUP(AU70,'11. Lists'!$J$35:$K$38,2,FALSE))</f>
        <v/>
      </c>
      <c r="AW70" s="159" t="str">
        <f>IF(D70="","",VLOOKUP(D70,'10. Condition and Temporal'!$B$6:$M$103,4,FALSE))</f>
        <v/>
      </c>
      <c r="AX70" s="160" t="str">
        <f t="shared" si="29"/>
        <v/>
      </c>
      <c r="AZ70" s="236"/>
      <c r="BA70" s="61">
        <v>5</v>
      </c>
      <c r="BB70" s="60" t="str">
        <f t="shared" si="30"/>
        <v/>
      </c>
      <c r="BC70" s="60" t="str">
        <f t="shared" si="31"/>
        <v/>
      </c>
      <c r="BD70" s="60" t="str">
        <f t="shared" si="32"/>
        <v/>
      </c>
      <c r="BE70" s="60" t="str">
        <f t="shared" si="33"/>
        <v/>
      </c>
      <c r="BF70" s="60" t="str">
        <f t="shared" si="34"/>
        <v/>
      </c>
      <c r="BG70" s="60" t="str">
        <f t="shared" si="35"/>
        <v/>
      </c>
      <c r="BH70" s="60" t="str">
        <f t="shared" si="36"/>
        <v/>
      </c>
      <c r="BI70" s="60" t="str">
        <f t="shared" si="37"/>
        <v/>
      </c>
      <c r="BJ70" s="60" t="str">
        <f t="shared" si="38"/>
        <v/>
      </c>
      <c r="BK70" s="60" t="str">
        <f t="shared" si="39"/>
        <v/>
      </c>
      <c r="BL70" s="60" t="str">
        <f t="shared" si="40"/>
        <v/>
      </c>
      <c r="BM70" s="60" t="str">
        <f t="shared" si="41"/>
        <v/>
      </c>
      <c r="BN70" s="60" t="str">
        <f t="shared" si="42"/>
        <v/>
      </c>
      <c r="BO70" s="60" t="str">
        <f t="shared" si="43"/>
        <v/>
      </c>
      <c r="BP70" s="60" t="str">
        <f t="shared" si="44"/>
        <v/>
      </c>
      <c r="BQ70" s="60" t="str">
        <f t="shared" si="45"/>
        <v/>
      </c>
      <c r="BR70" s="60" t="str">
        <f t="shared" si="46"/>
        <v/>
      </c>
      <c r="BS70" s="60" t="str">
        <f t="shared" si="47"/>
        <v/>
      </c>
      <c r="BT70" s="60" t="str">
        <f t="shared" si="48"/>
        <v/>
      </c>
      <c r="BU70" s="148" t="str">
        <f t="shared" si="49"/>
        <v/>
      </c>
      <c r="BV70" s="225" t="str">
        <f t="shared" si="50"/>
        <v/>
      </c>
      <c r="BW70" s="60" t="s">
        <v>172</v>
      </c>
      <c r="BX70" s="60">
        <f>BF64</f>
        <v>0</v>
      </c>
    </row>
    <row r="71" spans="1:76" s="97" customFormat="1" ht="15.45" customHeight="1" x14ac:dyDescent="0.3">
      <c r="B71" s="286">
        <v>6</v>
      </c>
      <c r="C71" s="164" t="str">
        <f t="shared" si="12"/>
        <v/>
      </c>
      <c r="D71" s="238" t="str">
        <f t="shared" si="13"/>
        <v/>
      </c>
      <c r="E71" s="208" t="str">
        <f t="shared" si="14"/>
        <v/>
      </c>
      <c r="F71" s="733"/>
      <c r="G71" s="734"/>
      <c r="H71" s="205" t="str">
        <f t="shared" si="15"/>
        <v/>
      </c>
      <c r="I71" s="334" t="str">
        <f t="shared" si="16"/>
        <v/>
      </c>
      <c r="J71" s="871" t="str">
        <f>IFERROR(IF(F71="","",VLOOKUP(F71,'10. Condition and Temporal'!$B$6:$F$103,5,FALSE)), "Error ▲")</f>
        <v/>
      </c>
      <c r="K71" s="872"/>
      <c r="L71" s="305" t="str">
        <f t="shared" si="17"/>
        <v/>
      </c>
      <c r="M71" s="784" t="str">
        <f t="shared" si="18"/>
        <v/>
      </c>
      <c r="N71" s="873"/>
      <c r="O71" s="133"/>
      <c r="P71" s="85"/>
      <c r="R71" s="649"/>
      <c r="T71" s="218" t="str">
        <f t="shared" si="19"/>
        <v/>
      </c>
      <c r="U71" s="159" t="str">
        <f t="shared" si="20"/>
        <v/>
      </c>
      <c r="V71" s="160" t="str">
        <f t="shared" si="21"/>
        <v/>
      </c>
      <c r="W71" s="159" t="str">
        <f t="shared" si="21"/>
        <v/>
      </c>
      <c r="X71" s="60" t="str">
        <f t="shared" si="21"/>
        <v/>
      </c>
      <c r="Y71" s="350"/>
      <c r="Z71" s="350"/>
      <c r="AA71" s="350"/>
      <c r="AB71" s="60" t="str">
        <f t="shared" si="22"/>
        <v/>
      </c>
      <c r="AC71" s="161" t="str">
        <f t="shared" si="23"/>
        <v/>
      </c>
      <c r="AD71" s="160" t="str">
        <f t="shared" si="24"/>
        <v/>
      </c>
      <c r="AE71" s="220" t="str">
        <f t="shared" si="25"/>
        <v/>
      </c>
      <c r="AF71" s="158" t="str">
        <f t="shared" si="26"/>
        <v/>
      </c>
      <c r="AG71" s="159" t="str">
        <f>IF(D71="","",VLOOKUP(F71,'9. All Habitats + Multipliers'!$C$4:$K$102,5,FALSE))</f>
        <v/>
      </c>
      <c r="AH71" s="160" t="str">
        <f>IF(AG71="","",VLOOKUP(AG71,'11. Lists'!$S$47:$U$50,2,FALSE))</f>
        <v/>
      </c>
      <c r="AI71" s="158" t="str">
        <f t="shared" si="27"/>
        <v/>
      </c>
      <c r="AJ71" s="61" t="str">
        <f>IF(AI71="","",VLOOKUP(AI71,'11. Lists'!$F$47:$G$51,2,FALSE))</f>
        <v/>
      </c>
      <c r="AK71" s="350"/>
      <c r="AL71" s="350"/>
      <c r="AM71" s="350"/>
      <c r="AN71" s="148" t="str">
        <f t="shared" si="28"/>
        <v/>
      </c>
      <c r="AO71" s="162" t="str">
        <f>IF(AN71="","",VLOOKUP(AN71,'11. Lists'!$F$36:$H$38,2,FALSE))</f>
        <v/>
      </c>
      <c r="AP71" s="160" t="str">
        <f>IF(AN71="","",VLOOKUP(AN71,'11. Lists'!$F$36:$H$38,3,FALSE))</f>
        <v/>
      </c>
      <c r="AQ71" s="159" t="str">
        <f>IF(D71="","",IF(AX71="Distinctiveness","N/A",VLOOKUP(F71,'10. Condition and Temporal'!$B$6:$L$103,11,FALSE)))</f>
        <v/>
      </c>
      <c r="AR71" s="163" t="str">
        <f>IF(AQ71="","",IF(AQ71="N/A","1",VLOOKUP(AQ71,'11. Lists'!$I$47:$K$80,3,FALSE)))</f>
        <v/>
      </c>
      <c r="AS71" s="178" t="str">
        <f>IF(D71="","",IF(AX71="Condition","N/A",VLOOKUP(F71,'10. Condition and Temporal'!$B$6:$M$106,12,FALSE)))</f>
        <v/>
      </c>
      <c r="AT71" s="163" t="str">
        <f>IF(AS71="","",IF(AS71="N/A","1",VLOOKUP(AS71,'11. Lists'!$I$47:$K$80,3,FALSE)))</f>
        <v/>
      </c>
      <c r="AU71" s="162" t="str">
        <f>IF(D71="","",VLOOKUP(F71,'9. All Habitats + Multipliers'!$C$4:$K$102,8,FALSE))</f>
        <v/>
      </c>
      <c r="AV71" s="160" t="str">
        <f>IF(AU71="","",VLOOKUP(AU71,'11. Lists'!$J$35:$K$38,2,FALSE))</f>
        <v/>
      </c>
      <c r="AW71" s="159" t="str">
        <f>IF(D71="","",VLOOKUP(D71,'10. Condition and Temporal'!$B$6:$M$103,4,FALSE))</f>
        <v/>
      </c>
      <c r="AX71" s="160" t="str">
        <f t="shared" si="29"/>
        <v/>
      </c>
      <c r="AZ71" s="236"/>
      <c r="BA71" s="61">
        <v>6</v>
      </c>
      <c r="BB71" s="60" t="str">
        <f t="shared" si="30"/>
        <v/>
      </c>
      <c r="BC71" s="60" t="str">
        <f t="shared" si="31"/>
        <v/>
      </c>
      <c r="BD71" s="60" t="str">
        <f t="shared" si="32"/>
        <v/>
      </c>
      <c r="BE71" s="60" t="str">
        <f t="shared" si="33"/>
        <v/>
      </c>
      <c r="BF71" s="60" t="str">
        <f t="shared" si="34"/>
        <v/>
      </c>
      <c r="BG71" s="60" t="str">
        <f t="shared" si="35"/>
        <v/>
      </c>
      <c r="BH71" s="60" t="str">
        <f t="shared" si="36"/>
        <v/>
      </c>
      <c r="BI71" s="60" t="str">
        <f t="shared" si="37"/>
        <v/>
      </c>
      <c r="BJ71" s="60" t="str">
        <f t="shared" si="38"/>
        <v/>
      </c>
      <c r="BK71" s="60" t="str">
        <f t="shared" si="39"/>
        <v/>
      </c>
      <c r="BL71" s="60" t="str">
        <f t="shared" si="40"/>
        <v/>
      </c>
      <c r="BM71" s="60" t="str">
        <f t="shared" si="41"/>
        <v/>
      </c>
      <c r="BN71" s="60" t="str">
        <f t="shared" si="42"/>
        <v/>
      </c>
      <c r="BO71" s="60" t="str">
        <f t="shared" si="43"/>
        <v/>
      </c>
      <c r="BP71" s="60" t="str">
        <f t="shared" si="44"/>
        <v/>
      </c>
      <c r="BQ71" s="60" t="str">
        <f t="shared" si="45"/>
        <v/>
      </c>
      <c r="BR71" s="60" t="str">
        <f t="shared" si="46"/>
        <v/>
      </c>
      <c r="BS71" s="60" t="str">
        <f t="shared" si="47"/>
        <v/>
      </c>
      <c r="BT71" s="60" t="str">
        <f t="shared" si="48"/>
        <v/>
      </c>
      <c r="BU71" s="148" t="str">
        <f t="shared" si="49"/>
        <v/>
      </c>
      <c r="BV71" s="225" t="str">
        <f t="shared" si="50"/>
        <v/>
      </c>
      <c r="BW71" s="60" t="s">
        <v>173</v>
      </c>
      <c r="BX71" s="60">
        <f>BG64</f>
        <v>0</v>
      </c>
    </row>
    <row r="72" spans="1:76" s="97" customFormat="1" ht="15.45" customHeight="1" x14ac:dyDescent="0.3">
      <c r="B72" s="286">
        <v>7</v>
      </c>
      <c r="C72" s="164" t="str">
        <f t="shared" si="12"/>
        <v/>
      </c>
      <c r="D72" s="238" t="str">
        <f t="shared" si="13"/>
        <v/>
      </c>
      <c r="E72" s="208" t="str">
        <f t="shared" si="14"/>
        <v/>
      </c>
      <c r="F72" s="733"/>
      <c r="G72" s="734"/>
      <c r="H72" s="205" t="str">
        <f t="shared" si="15"/>
        <v/>
      </c>
      <c r="I72" s="334" t="str">
        <f t="shared" si="16"/>
        <v/>
      </c>
      <c r="J72" s="871" t="str">
        <f>IFERROR(IF(F72="","",VLOOKUP(F72,'10. Condition and Temporal'!$B$6:$F$103,5,FALSE)), "Error ▲")</f>
        <v/>
      </c>
      <c r="K72" s="872"/>
      <c r="L72" s="305" t="str">
        <f t="shared" si="17"/>
        <v/>
      </c>
      <c r="M72" s="784" t="str">
        <f t="shared" si="18"/>
        <v/>
      </c>
      <c r="N72" s="873"/>
      <c r="O72" s="133"/>
      <c r="P72" s="85"/>
      <c r="R72" s="649"/>
      <c r="T72" s="218" t="str">
        <f t="shared" si="19"/>
        <v/>
      </c>
      <c r="U72" s="159" t="str">
        <f t="shared" si="20"/>
        <v/>
      </c>
      <c r="V72" s="160" t="str">
        <f t="shared" si="21"/>
        <v/>
      </c>
      <c r="W72" s="159" t="str">
        <f t="shared" si="21"/>
        <v/>
      </c>
      <c r="X72" s="60" t="str">
        <f t="shared" si="21"/>
        <v/>
      </c>
      <c r="Y72" s="350"/>
      <c r="Z72" s="350"/>
      <c r="AA72" s="350"/>
      <c r="AB72" s="60" t="str">
        <f t="shared" si="22"/>
        <v/>
      </c>
      <c r="AC72" s="161" t="str">
        <f t="shared" si="23"/>
        <v/>
      </c>
      <c r="AD72" s="160" t="str">
        <f t="shared" si="24"/>
        <v/>
      </c>
      <c r="AE72" s="220" t="str">
        <f t="shared" si="25"/>
        <v/>
      </c>
      <c r="AF72" s="158" t="str">
        <f t="shared" si="26"/>
        <v/>
      </c>
      <c r="AG72" s="159" t="str">
        <f>IF(D72="","",VLOOKUP(F72,'9. All Habitats + Multipliers'!$C$4:$K$102,5,FALSE))</f>
        <v/>
      </c>
      <c r="AH72" s="160" t="str">
        <f>IF(AG72="","",VLOOKUP(AG72,'11. Lists'!$S$47:$U$50,2,FALSE))</f>
        <v/>
      </c>
      <c r="AI72" s="158" t="str">
        <f t="shared" si="27"/>
        <v/>
      </c>
      <c r="AJ72" s="61" t="str">
        <f>IF(AI72="","",VLOOKUP(AI72,'11. Lists'!$F$47:$G$51,2,FALSE))</f>
        <v/>
      </c>
      <c r="AK72" s="350"/>
      <c r="AL72" s="350"/>
      <c r="AM72" s="350"/>
      <c r="AN72" s="148" t="str">
        <f t="shared" si="28"/>
        <v/>
      </c>
      <c r="AO72" s="162" t="str">
        <f>IF(AN72="","",VLOOKUP(AN72,'11. Lists'!$F$36:$H$38,2,FALSE))</f>
        <v/>
      </c>
      <c r="AP72" s="160" t="str">
        <f>IF(AN72="","",VLOOKUP(AN72,'11. Lists'!$F$36:$H$38,3,FALSE))</f>
        <v/>
      </c>
      <c r="AQ72" s="159" t="str">
        <f>IF(D72="","",IF(AX72="Distinctiveness","N/A",VLOOKUP(F72,'10. Condition and Temporal'!$B$6:$L$103,11,FALSE)))</f>
        <v/>
      </c>
      <c r="AR72" s="163" t="str">
        <f>IF(AQ72="","",IF(AQ72="N/A","1",VLOOKUP(AQ72,'11. Lists'!$I$47:$K$80,3,FALSE)))</f>
        <v/>
      </c>
      <c r="AS72" s="178" t="str">
        <f>IF(D72="","",IF(AX72="Condition","N/A",VLOOKUP(F72,'10. Condition and Temporal'!$B$6:$M$106,12,FALSE)))</f>
        <v/>
      </c>
      <c r="AT72" s="163" t="str">
        <f>IF(AS72="","",IF(AS72="N/A","1",VLOOKUP(AS72,'11. Lists'!$I$47:$K$80,3,FALSE)))</f>
        <v/>
      </c>
      <c r="AU72" s="162" t="str">
        <f>IF(D72="","",VLOOKUP(F72,'9. All Habitats + Multipliers'!$C$4:$K$102,8,FALSE))</f>
        <v/>
      </c>
      <c r="AV72" s="160" t="str">
        <f>IF(AU72="","",VLOOKUP(AU72,'11. Lists'!$J$35:$K$38,2,FALSE))</f>
        <v/>
      </c>
      <c r="AW72" s="159" t="str">
        <f>IF(D72="","",VLOOKUP(D72,'10. Condition and Temporal'!$B$6:$M$103,4,FALSE))</f>
        <v/>
      </c>
      <c r="AX72" s="160" t="str">
        <f t="shared" si="29"/>
        <v/>
      </c>
      <c r="AZ72" s="236"/>
      <c r="BA72" s="61">
        <v>7</v>
      </c>
      <c r="BB72" s="60" t="str">
        <f t="shared" si="30"/>
        <v/>
      </c>
      <c r="BC72" s="60" t="str">
        <f t="shared" si="31"/>
        <v/>
      </c>
      <c r="BD72" s="60" t="str">
        <f t="shared" si="32"/>
        <v/>
      </c>
      <c r="BE72" s="60" t="str">
        <f t="shared" si="33"/>
        <v/>
      </c>
      <c r="BF72" s="60" t="str">
        <f t="shared" si="34"/>
        <v/>
      </c>
      <c r="BG72" s="60" t="str">
        <f t="shared" si="35"/>
        <v/>
      </c>
      <c r="BH72" s="60" t="str">
        <f t="shared" si="36"/>
        <v/>
      </c>
      <c r="BI72" s="60" t="str">
        <f t="shared" si="37"/>
        <v/>
      </c>
      <c r="BJ72" s="60" t="str">
        <f t="shared" si="38"/>
        <v/>
      </c>
      <c r="BK72" s="60" t="str">
        <f t="shared" si="39"/>
        <v/>
      </c>
      <c r="BL72" s="60" t="str">
        <f t="shared" si="40"/>
        <v/>
      </c>
      <c r="BM72" s="60" t="str">
        <f t="shared" si="41"/>
        <v/>
      </c>
      <c r="BN72" s="60" t="str">
        <f t="shared" si="42"/>
        <v/>
      </c>
      <c r="BO72" s="60" t="str">
        <f t="shared" si="43"/>
        <v/>
      </c>
      <c r="BP72" s="60" t="str">
        <f t="shared" si="44"/>
        <v/>
      </c>
      <c r="BQ72" s="60" t="str">
        <f t="shared" si="45"/>
        <v/>
      </c>
      <c r="BR72" s="60" t="str">
        <f t="shared" si="46"/>
        <v/>
      </c>
      <c r="BS72" s="60" t="str">
        <f t="shared" si="47"/>
        <v/>
      </c>
      <c r="BT72" s="60" t="str">
        <f t="shared" si="48"/>
        <v/>
      </c>
      <c r="BU72" s="148" t="str">
        <f t="shared" si="49"/>
        <v/>
      </c>
      <c r="BV72" s="225" t="str">
        <f t="shared" si="50"/>
        <v/>
      </c>
      <c r="BW72" s="60" t="s">
        <v>174</v>
      </c>
      <c r="BX72" s="60">
        <f>BH64</f>
        <v>0</v>
      </c>
    </row>
    <row r="73" spans="1:76" s="97" customFormat="1" ht="15.45" customHeight="1" x14ac:dyDescent="0.3">
      <c r="B73" s="286">
        <v>8</v>
      </c>
      <c r="C73" s="164" t="str">
        <f t="shared" si="12"/>
        <v/>
      </c>
      <c r="D73" s="238" t="str">
        <f t="shared" si="13"/>
        <v/>
      </c>
      <c r="E73" s="208" t="str">
        <f t="shared" si="14"/>
        <v/>
      </c>
      <c r="F73" s="733"/>
      <c r="G73" s="734"/>
      <c r="H73" s="205" t="str">
        <f t="shared" si="15"/>
        <v/>
      </c>
      <c r="I73" s="334" t="str">
        <f t="shared" si="16"/>
        <v/>
      </c>
      <c r="J73" s="871" t="str">
        <f>IFERROR(IF(F73="","",VLOOKUP(F73,'10. Condition and Temporal'!$B$6:$F$103,5,FALSE)), "Error ▲")</f>
        <v/>
      </c>
      <c r="K73" s="872"/>
      <c r="L73" s="305" t="str">
        <f t="shared" si="17"/>
        <v/>
      </c>
      <c r="M73" s="784" t="str">
        <f t="shared" si="18"/>
        <v/>
      </c>
      <c r="N73" s="873"/>
      <c r="O73" s="133"/>
      <c r="P73" s="85"/>
      <c r="R73" s="649"/>
      <c r="T73" s="218" t="str">
        <f t="shared" si="19"/>
        <v/>
      </c>
      <c r="U73" s="159" t="str">
        <f t="shared" si="20"/>
        <v/>
      </c>
      <c r="V73" s="160" t="str">
        <f t="shared" si="21"/>
        <v/>
      </c>
      <c r="W73" s="159" t="str">
        <f t="shared" si="21"/>
        <v/>
      </c>
      <c r="X73" s="60" t="str">
        <f t="shared" si="21"/>
        <v/>
      </c>
      <c r="Y73" s="350"/>
      <c r="Z73" s="350"/>
      <c r="AA73" s="350"/>
      <c r="AB73" s="60" t="str">
        <f t="shared" si="22"/>
        <v/>
      </c>
      <c r="AC73" s="161" t="str">
        <f t="shared" si="23"/>
        <v/>
      </c>
      <c r="AD73" s="160" t="str">
        <f t="shared" si="24"/>
        <v/>
      </c>
      <c r="AE73" s="220" t="str">
        <f t="shared" si="25"/>
        <v/>
      </c>
      <c r="AF73" s="158" t="str">
        <f t="shared" si="26"/>
        <v/>
      </c>
      <c r="AG73" s="159" t="str">
        <f>IF(D73="","",VLOOKUP(F73,'9. All Habitats + Multipliers'!$C$4:$K$102,5,FALSE))</f>
        <v/>
      </c>
      <c r="AH73" s="160" t="str">
        <f>IF(AG73="","",VLOOKUP(AG73,'11. Lists'!$S$47:$U$50,2,FALSE))</f>
        <v/>
      </c>
      <c r="AI73" s="158" t="str">
        <f t="shared" si="27"/>
        <v/>
      </c>
      <c r="AJ73" s="61" t="str">
        <f>IF(AI73="","",VLOOKUP(AI73,'11. Lists'!$F$47:$G$51,2,FALSE))</f>
        <v/>
      </c>
      <c r="AK73" s="350"/>
      <c r="AL73" s="350"/>
      <c r="AM73" s="350"/>
      <c r="AN73" s="148" t="str">
        <f t="shared" si="28"/>
        <v/>
      </c>
      <c r="AO73" s="162" t="str">
        <f>IF(AN73="","",VLOOKUP(AN73,'11. Lists'!$F$36:$H$38,2,FALSE))</f>
        <v/>
      </c>
      <c r="AP73" s="160" t="str">
        <f>IF(AN73="","",VLOOKUP(AN73,'11. Lists'!$F$36:$H$38,3,FALSE))</f>
        <v/>
      </c>
      <c r="AQ73" s="159" t="str">
        <f>IF(D73="","",IF(AX73="Distinctiveness","N/A",VLOOKUP(F73,'10. Condition and Temporal'!$B$6:$L$103,11,FALSE)))</f>
        <v/>
      </c>
      <c r="AR73" s="163" t="str">
        <f>IF(AQ73="","",IF(AQ73="N/A","1",VLOOKUP(AQ73,'11. Lists'!$I$47:$K$80,3,FALSE)))</f>
        <v/>
      </c>
      <c r="AS73" s="178" t="str">
        <f>IF(D73="","",IF(AX73="Condition","N/A",VLOOKUP(F73,'10. Condition and Temporal'!$B$6:$M$106,12,FALSE)))</f>
        <v/>
      </c>
      <c r="AT73" s="163" t="str">
        <f>IF(AS73="","",IF(AS73="N/A","1",VLOOKUP(AS73,'11. Lists'!$I$47:$K$80,3,FALSE)))</f>
        <v/>
      </c>
      <c r="AU73" s="162" t="str">
        <f>IF(D73="","",VLOOKUP(F73,'9. All Habitats + Multipliers'!$C$4:$K$102,8,FALSE))</f>
        <v/>
      </c>
      <c r="AV73" s="160" t="str">
        <f>IF(AU73="","",VLOOKUP(AU73,'11. Lists'!$J$35:$K$38,2,FALSE))</f>
        <v/>
      </c>
      <c r="AW73" s="159" t="str">
        <f>IF(D73="","",VLOOKUP(D73,'10. Condition and Temporal'!$B$6:$M$103,4,FALSE))</f>
        <v/>
      </c>
      <c r="AX73" s="160" t="str">
        <f t="shared" si="29"/>
        <v/>
      </c>
      <c r="AZ73" s="236"/>
      <c r="BA73" s="61">
        <v>8</v>
      </c>
      <c r="BB73" s="60" t="str">
        <f t="shared" si="30"/>
        <v/>
      </c>
      <c r="BC73" s="60" t="str">
        <f t="shared" si="31"/>
        <v/>
      </c>
      <c r="BD73" s="60" t="str">
        <f t="shared" si="32"/>
        <v/>
      </c>
      <c r="BE73" s="60" t="str">
        <f t="shared" si="33"/>
        <v/>
      </c>
      <c r="BF73" s="60" t="str">
        <f t="shared" si="34"/>
        <v/>
      </c>
      <c r="BG73" s="60" t="str">
        <f t="shared" si="35"/>
        <v/>
      </c>
      <c r="BH73" s="60" t="str">
        <f t="shared" si="36"/>
        <v/>
      </c>
      <c r="BI73" s="60" t="str">
        <f t="shared" si="37"/>
        <v/>
      </c>
      <c r="BJ73" s="60" t="str">
        <f t="shared" si="38"/>
        <v/>
      </c>
      <c r="BK73" s="60" t="str">
        <f t="shared" si="39"/>
        <v/>
      </c>
      <c r="BL73" s="60" t="str">
        <f t="shared" si="40"/>
        <v/>
      </c>
      <c r="BM73" s="60" t="str">
        <f t="shared" si="41"/>
        <v/>
      </c>
      <c r="BN73" s="60" t="str">
        <f t="shared" si="42"/>
        <v/>
      </c>
      <c r="BO73" s="60" t="str">
        <f t="shared" si="43"/>
        <v/>
      </c>
      <c r="BP73" s="60" t="str">
        <f t="shared" si="44"/>
        <v/>
      </c>
      <c r="BQ73" s="60" t="str">
        <f t="shared" si="45"/>
        <v/>
      </c>
      <c r="BR73" s="60" t="str">
        <f t="shared" si="46"/>
        <v/>
      </c>
      <c r="BS73" s="60" t="str">
        <f t="shared" si="47"/>
        <v/>
      </c>
      <c r="BT73" s="60" t="str">
        <f t="shared" si="48"/>
        <v/>
      </c>
      <c r="BU73" s="148" t="str">
        <f t="shared" si="49"/>
        <v/>
      </c>
      <c r="BV73" s="225" t="str">
        <f t="shared" si="50"/>
        <v/>
      </c>
      <c r="BW73" s="60" t="s">
        <v>175</v>
      </c>
      <c r="BX73" s="60">
        <f>BI64</f>
        <v>0</v>
      </c>
    </row>
    <row r="74" spans="1:76" s="97" customFormat="1" ht="15.45" customHeight="1" x14ac:dyDescent="0.3">
      <c r="B74" s="286">
        <v>9</v>
      </c>
      <c r="C74" s="164" t="str">
        <f t="shared" si="12"/>
        <v/>
      </c>
      <c r="D74" s="238" t="str">
        <f t="shared" si="13"/>
        <v/>
      </c>
      <c r="E74" s="208" t="str">
        <f t="shared" si="14"/>
        <v/>
      </c>
      <c r="F74" s="733"/>
      <c r="G74" s="734"/>
      <c r="H74" s="205" t="str">
        <f t="shared" si="15"/>
        <v/>
      </c>
      <c r="I74" s="334" t="str">
        <f t="shared" si="16"/>
        <v/>
      </c>
      <c r="J74" s="871" t="str">
        <f>IFERROR(IF(F74="","",VLOOKUP(F74,'10. Condition and Temporal'!$B$6:$F$103,5,FALSE)), "Error ▲")</f>
        <v/>
      </c>
      <c r="K74" s="872"/>
      <c r="L74" s="305" t="str">
        <f t="shared" si="17"/>
        <v/>
      </c>
      <c r="M74" s="784" t="str">
        <f t="shared" si="18"/>
        <v/>
      </c>
      <c r="N74" s="873"/>
      <c r="O74" s="133"/>
      <c r="P74" s="85"/>
      <c r="R74" s="649"/>
      <c r="T74" s="218" t="str">
        <f t="shared" si="19"/>
        <v/>
      </c>
      <c r="U74" s="159" t="str">
        <f t="shared" si="20"/>
        <v/>
      </c>
      <c r="V74" s="160" t="str">
        <f t="shared" si="21"/>
        <v/>
      </c>
      <c r="W74" s="159" t="str">
        <f t="shared" si="21"/>
        <v/>
      </c>
      <c r="X74" s="60" t="str">
        <f t="shared" si="21"/>
        <v/>
      </c>
      <c r="Y74" s="350"/>
      <c r="Z74" s="350"/>
      <c r="AA74" s="350"/>
      <c r="AB74" s="60" t="str">
        <f t="shared" si="22"/>
        <v/>
      </c>
      <c r="AC74" s="161" t="str">
        <f t="shared" si="23"/>
        <v/>
      </c>
      <c r="AD74" s="160" t="str">
        <f t="shared" si="24"/>
        <v/>
      </c>
      <c r="AE74" s="220" t="str">
        <f t="shared" si="25"/>
        <v/>
      </c>
      <c r="AF74" s="158" t="str">
        <f t="shared" si="26"/>
        <v/>
      </c>
      <c r="AG74" s="159" t="str">
        <f>IF(D74="","",VLOOKUP(F74,'9. All Habitats + Multipliers'!$C$4:$K$102,5,FALSE))</f>
        <v/>
      </c>
      <c r="AH74" s="160" t="str">
        <f>IF(AG74="","",VLOOKUP(AG74,'11. Lists'!$S$47:$U$50,2,FALSE))</f>
        <v/>
      </c>
      <c r="AI74" s="158" t="str">
        <f t="shared" si="27"/>
        <v/>
      </c>
      <c r="AJ74" s="61" t="str">
        <f>IF(AI74="","",VLOOKUP(AI74,'11. Lists'!$F$47:$G$51,2,FALSE))</f>
        <v/>
      </c>
      <c r="AK74" s="350"/>
      <c r="AL74" s="350"/>
      <c r="AM74" s="350"/>
      <c r="AN74" s="148" t="str">
        <f t="shared" si="28"/>
        <v/>
      </c>
      <c r="AO74" s="162" t="str">
        <f>IF(AN74="","",VLOOKUP(AN74,'11. Lists'!$F$36:$H$38,2,FALSE))</f>
        <v/>
      </c>
      <c r="AP74" s="160" t="str">
        <f>IF(AN74="","",VLOOKUP(AN74,'11. Lists'!$F$36:$H$38,3,FALSE))</f>
        <v/>
      </c>
      <c r="AQ74" s="159" t="str">
        <f>IF(D74="","",IF(AX74="Distinctiveness","N/A",VLOOKUP(F74,'10. Condition and Temporal'!$B$6:$L$103,11,FALSE)))</f>
        <v/>
      </c>
      <c r="AR74" s="163" t="str">
        <f>IF(AQ74="","",IF(AQ74="N/A","1",VLOOKUP(AQ74,'11. Lists'!$I$47:$K$80,3,FALSE)))</f>
        <v/>
      </c>
      <c r="AS74" s="178" t="str">
        <f>IF(D74="","",IF(AX74="Condition","N/A",VLOOKUP(F74,'10. Condition and Temporal'!$B$6:$M$106,12,FALSE)))</f>
        <v/>
      </c>
      <c r="AT74" s="163" t="str">
        <f>IF(AS74="","",IF(AS74="N/A","1",VLOOKUP(AS74,'11. Lists'!$I$47:$K$80,3,FALSE)))</f>
        <v/>
      </c>
      <c r="AU74" s="162" t="str">
        <f>IF(D74="","",VLOOKUP(F74,'9. All Habitats + Multipliers'!$C$4:$K$102,8,FALSE))</f>
        <v/>
      </c>
      <c r="AV74" s="160" t="str">
        <f>IF(AU74="","",VLOOKUP(AU74,'11. Lists'!$J$35:$K$38,2,FALSE))</f>
        <v/>
      </c>
      <c r="AW74" s="159" t="str">
        <f>IF(D74="","",VLOOKUP(D74,'10. Condition and Temporal'!$B$6:$M$103,4,FALSE))</f>
        <v/>
      </c>
      <c r="AX74" s="160" t="str">
        <f t="shared" si="29"/>
        <v/>
      </c>
      <c r="AZ74" s="236"/>
      <c r="BA74" s="61">
        <v>9</v>
      </c>
      <c r="BB74" s="60" t="str">
        <f t="shared" si="30"/>
        <v/>
      </c>
      <c r="BC74" s="60" t="str">
        <f t="shared" si="31"/>
        <v/>
      </c>
      <c r="BD74" s="60" t="str">
        <f t="shared" si="32"/>
        <v/>
      </c>
      <c r="BE74" s="60" t="str">
        <f t="shared" si="33"/>
        <v/>
      </c>
      <c r="BF74" s="60" t="str">
        <f t="shared" si="34"/>
        <v/>
      </c>
      <c r="BG74" s="60" t="str">
        <f t="shared" si="35"/>
        <v/>
      </c>
      <c r="BH74" s="60" t="str">
        <f t="shared" si="36"/>
        <v/>
      </c>
      <c r="BI74" s="60" t="str">
        <f t="shared" si="37"/>
        <v/>
      </c>
      <c r="BJ74" s="60" t="str">
        <f t="shared" si="38"/>
        <v/>
      </c>
      <c r="BK74" s="60" t="str">
        <f t="shared" si="39"/>
        <v/>
      </c>
      <c r="BL74" s="60" t="str">
        <f t="shared" si="40"/>
        <v/>
      </c>
      <c r="BM74" s="60" t="str">
        <f t="shared" si="41"/>
        <v/>
      </c>
      <c r="BN74" s="60" t="str">
        <f t="shared" si="42"/>
        <v/>
      </c>
      <c r="BO74" s="60" t="str">
        <f t="shared" si="43"/>
        <v/>
      </c>
      <c r="BP74" s="60" t="str">
        <f t="shared" si="44"/>
        <v/>
      </c>
      <c r="BQ74" s="60" t="str">
        <f t="shared" si="45"/>
        <v/>
      </c>
      <c r="BR74" s="60" t="str">
        <f t="shared" si="46"/>
        <v/>
      </c>
      <c r="BS74" s="60" t="str">
        <f t="shared" si="47"/>
        <v/>
      </c>
      <c r="BT74" s="60" t="str">
        <f t="shared" si="48"/>
        <v/>
      </c>
      <c r="BU74" s="148" t="str">
        <f t="shared" si="49"/>
        <v/>
      </c>
      <c r="BV74" s="225" t="str">
        <f t="shared" si="50"/>
        <v/>
      </c>
      <c r="BW74" s="60" t="s">
        <v>176</v>
      </c>
      <c r="BX74" s="60">
        <f>BJ64</f>
        <v>0</v>
      </c>
    </row>
    <row r="75" spans="1:76" s="97" customFormat="1" ht="15.45" customHeight="1" x14ac:dyDescent="0.3">
      <c r="B75" s="286">
        <v>10</v>
      </c>
      <c r="C75" s="164" t="str">
        <f t="shared" si="12"/>
        <v/>
      </c>
      <c r="D75" s="238" t="str">
        <f t="shared" si="13"/>
        <v/>
      </c>
      <c r="E75" s="208" t="str">
        <f t="shared" si="14"/>
        <v/>
      </c>
      <c r="F75" s="733"/>
      <c r="G75" s="734"/>
      <c r="H75" s="205" t="str">
        <f t="shared" si="15"/>
        <v/>
      </c>
      <c r="I75" s="334" t="str">
        <f t="shared" si="16"/>
        <v/>
      </c>
      <c r="J75" s="871" t="str">
        <f>IFERROR(IF(F75="","",VLOOKUP(F75,'10. Condition and Temporal'!$B$6:$F$103,5,FALSE)), "Error ▲")</f>
        <v/>
      </c>
      <c r="K75" s="872"/>
      <c r="L75" s="305" t="str">
        <f t="shared" si="17"/>
        <v/>
      </c>
      <c r="M75" s="784" t="str">
        <f t="shared" si="18"/>
        <v/>
      </c>
      <c r="N75" s="873"/>
      <c r="O75" s="133"/>
      <c r="P75" s="85"/>
      <c r="R75" s="649"/>
      <c r="T75" s="218" t="str">
        <f t="shared" si="19"/>
        <v/>
      </c>
      <c r="U75" s="159" t="str">
        <f t="shared" si="20"/>
        <v/>
      </c>
      <c r="V75" s="160" t="str">
        <f t="shared" si="21"/>
        <v/>
      </c>
      <c r="W75" s="159" t="str">
        <f t="shared" si="21"/>
        <v/>
      </c>
      <c r="X75" s="60" t="str">
        <f t="shared" si="21"/>
        <v/>
      </c>
      <c r="Y75" s="350"/>
      <c r="Z75" s="350"/>
      <c r="AA75" s="350"/>
      <c r="AB75" s="60" t="str">
        <f t="shared" si="22"/>
        <v/>
      </c>
      <c r="AC75" s="161" t="str">
        <f t="shared" si="23"/>
        <v/>
      </c>
      <c r="AD75" s="160" t="str">
        <f t="shared" si="24"/>
        <v/>
      </c>
      <c r="AE75" s="220" t="str">
        <f t="shared" si="25"/>
        <v/>
      </c>
      <c r="AF75" s="158" t="str">
        <f t="shared" si="26"/>
        <v/>
      </c>
      <c r="AG75" s="159" t="str">
        <f>IF(D75="","",VLOOKUP(F75,'9. All Habitats + Multipliers'!$C$4:$K$102,5,FALSE))</f>
        <v/>
      </c>
      <c r="AH75" s="160" t="str">
        <f>IF(AG75="","",VLOOKUP(AG75,'11. Lists'!$S$47:$U$50,2,FALSE))</f>
        <v/>
      </c>
      <c r="AI75" s="158" t="str">
        <f t="shared" si="27"/>
        <v/>
      </c>
      <c r="AJ75" s="61" t="str">
        <f>IF(AI75="","",VLOOKUP(AI75,'11. Lists'!$F$47:$G$51,2,FALSE))</f>
        <v/>
      </c>
      <c r="AK75" s="350"/>
      <c r="AL75" s="350"/>
      <c r="AM75" s="350"/>
      <c r="AN75" s="148" t="str">
        <f t="shared" si="28"/>
        <v/>
      </c>
      <c r="AO75" s="162" t="str">
        <f>IF(AN75="","",VLOOKUP(AN75,'11. Lists'!$F$36:$H$38,2,FALSE))</f>
        <v/>
      </c>
      <c r="AP75" s="160" t="str">
        <f>IF(AN75="","",VLOOKUP(AN75,'11. Lists'!$F$36:$H$38,3,FALSE))</f>
        <v/>
      </c>
      <c r="AQ75" s="159" t="str">
        <f>IF(D75="","",IF(AX75="Distinctiveness","N/A",VLOOKUP(F75,'10. Condition and Temporal'!$B$6:$L$103,11,FALSE)))</f>
        <v/>
      </c>
      <c r="AR75" s="163" t="str">
        <f>IF(AQ75="","",IF(AQ75="N/A","1",VLOOKUP(AQ75,'11. Lists'!$I$47:$K$80,3,FALSE)))</f>
        <v/>
      </c>
      <c r="AS75" s="178" t="str">
        <f>IF(D75="","",IF(AX75="Condition","N/A",VLOOKUP(F75,'10. Condition and Temporal'!$B$6:$M$106,12,FALSE)))</f>
        <v/>
      </c>
      <c r="AT75" s="163" t="str">
        <f>IF(AS75="","",IF(AS75="N/A","1",VLOOKUP(AS75,'11. Lists'!$I$47:$K$80,3,FALSE)))</f>
        <v/>
      </c>
      <c r="AU75" s="162" t="str">
        <f>IF(D75="","",VLOOKUP(F75,'9. All Habitats + Multipliers'!$C$4:$K$102,8,FALSE))</f>
        <v/>
      </c>
      <c r="AV75" s="160" t="str">
        <f>IF(AU75="","",VLOOKUP(AU75,'11. Lists'!$J$35:$K$38,2,FALSE))</f>
        <v/>
      </c>
      <c r="AW75" s="159" t="str">
        <f>IF(D75="","",VLOOKUP(D75,'10. Condition and Temporal'!$B$6:$M$103,4,FALSE))</f>
        <v/>
      </c>
      <c r="AX75" s="160" t="str">
        <f t="shared" si="29"/>
        <v/>
      </c>
      <c r="AZ75" s="236"/>
      <c r="BA75" s="61">
        <v>10</v>
      </c>
      <c r="BB75" s="60" t="str">
        <f t="shared" si="30"/>
        <v/>
      </c>
      <c r="BC75" s="60" t="str">
        <f t="shared" si="31"/>
        <v/>
      </c>
      <c r="BD75" s="60" t="str">
        <f t="shared" si="32"/>
        <v/>
      </c>
      <c r="BE75" s="60" t="str">
        <f t="shared" si="33"/>
        <v/>
      </c>
      <c r="BF75" s="60" t="str">
        <f t="shared" si="34"/>
        <v/>
      </c>
      <c r="BG75" s="60" t="str">
        <f t="shared" si="35"/>
        <v/>
      </c>
      <c r="BH75" s="60" t="str">
        <f t="shared" si="36"/>
        <v/>
      </c>
      <c r="BI75" s="60" t="str">
        <f t="shared" si="37"/>
        <v/>
      </c>
      <c r="BJ75" s="60" t="str">
        <f t="shared" si="38"/>
        <v/>
      </c>
      <c r="BK75" s="60" t="str">
        <f t="shared" si="39"/>
        <v/>
      </c>
      <c r="BL75" s="60" t="str">
        <f t="shared" si="40"/>
        <v/>
      </c>
      <c r="BM75" s="60" t="str">
        <f t="shared" si="41"/>
        <v/>
      </c>
      <c r="BN75" s="60" t="str">
        <f t="shared" si="42"/>
        <v/>
      </c>
      <c r="BO75" s="60" t="str">
        <f t="shared" si="43"/>
        <v/>
      </c>
      <c r="BP75" s="60" t="str">
        <f t="shared" si="44"/>
        <v/>
      </c>
      <c r="BQ75" s="60" t="str">
        <f t="shared" si="45"/>
        <v/>
      </c>
      <c r="BR75" s="60" t="str">
        <f t="shared" si="46"/>
        <v/>
      </c>
      <c r="BS75" s="60" t="str">
        <f t="shared" si="47"/>
        <v/>
      </c>
      <c r="BT75" s="60" t="str">
        <f t="shared" si="48"/>
        <v/>
      </c>
      <c r="BU75" s="148" t="str">
        <f t="shared" si="49"/>
        <v/>
      </c>
      <c r="BV75" s="225" t="str">
        <f t="shared" si="50"/>
        <v/>
      </c>
      <c r="BW75" s="60" t="s">
        <v>177</v>
      </c>
      <c r="BX75" s="60">
        <f>BK64</f>
        <v>0</v>
      </c>
    </row>
    <row r="76" spans="1:76" s="97" customFormat="1" ht="15.45" customHeight="1" x14ac:dyDescent="0.3">
      <c r="B76" s="286">
        <v>11</v>
      </c>
      <c r="C76" s="164" t="str">
        <f t="shared" si="12"/>
        <v/>
      </c>
      <c r="D76" s="238" t="str">
        <f t="shared" si="13"/>
        <v/>
      </c>
      <c r="E76" s="208" t="str">
        <f t="shared" si="14"/>
        <v/>
      </c>
      <c r="F76" s="733"/>
      <c r="G76" s="734"/>
      <c r="H76" s="205" t="str">
        <f t="shared" si="15"/>
        <v/>
      </c>
      <c r="I76" s="334" t="str">
        <f t="shared" si="16"/>
        <v/>
      </c>
      <c r="J76" s="871" t="str">
        <f>IFERROR(IF(F76="","",VLOOKUP(F76,'10. Condition and Temporal'!$B$6:$F$103,5,FALSE)), "Error ▲")</f>
        <v/>
      </c>
      <c r="K76" s="872"/>
      <c r="L76" s="305" t="str">
        <f t="shared" si="17"/>
        <v/>
      </c>
      <c r="M76" s="784" t="str">
        <f t="shared" si="18"/>
        <v/>
      </c>
      <c r="N76" s="873"/>
      <c r="O76" s="133"/>
      <c r="P76" s="85"/>
      <c r="R76" s="649"/>
      <c r="T76" s="218" t="str">
        <f t="shared" si="19"/>
        <v/>
      </c>
      <c r="U76" s="159" t="str">
        <f t="shared" si="20"/>
        <v/>
      </c>
      <c r="V76" s="160" t="str">
        <f t="shared" si="21"/>
        <v/>
      </c>
      <c r="W76" s="159" t="str">
        <f t="shared" si="21"/>
        <v/>
      </c>
      <c r="X76" s="60" t="str">
        <f t="shared" si="21"/>
        <v/>
      </c>
      <c r="Y76" s="350"/>
      <c r="Z76" s="350"/>
      <c r="AA76" s="350"/>
      <c r="AB76" s="60" t="str">
        <f t="shared" si="22"/>
        <v/>
      </c>
      <c r="AC76" s="161" t="str">
        <f t="shared" si="23"/>
        <v/>
      </c>
      <c r="AD76" s="160" t="str">
        <f t="shared" si="24"/>
        <v/>
      </c>
      <c r="AE76" s="220" t="str">
        <f t="shared" si="25"/>
        <v/>
      </c>
      <c r="AF76" s="158" t="str">
        <f t="shared" si="26"/>
        <v/>
      </c>
      <c r="AG76" s="159" t="str">
        <f>IF(D76="","",VLOOKUP(F76,'9. All Habitats + Multipliers'!$C$4:$K$102,5,FALSE))</f>
        <v/>
      </c>
      <c r="AH76" s="160" t="str">
        <f>IF(AG76="","",VLOOKUP(AG76,'11. Lists'!$S$47:$U$50,2,FALSE))</f>
        <v/>
      </c>
      <c r="AI76" s="158" t="str">
        <f t="shared" si="27"/>
        <v/>
      </c>
      <c r="AJ76" s="61" t="str">
        <f>IF(AI76="","",VLOOKUP(AI76,'11. Lists'!$F$47:$G$51,2,FALSE))</f>
        <v/>
      </c>
      <c r="AK76" s="350"/>
      <c r="AL76" s="350"/>
      <c r="AM76" s="350"/>
      <c r="AN76" s="148" t="str">
        <f t="shared" si="28"/>
        <v/>
      </c>
      <c r="AO76" s="162" t="str">
        <f>IF(AN76="","",VLOOKUP(AN76,'11. Lists'!$F$36:$H$38,2,FALSE))</f>
        <v/>
      </c>
      <c r="AP76" s="160" t="str">
        <f>IF(AN76="","",VLOOKUP(AN76,'11. Lists'!$F$36:$H$38,3,FALSE))</f>
        <v/>
      </c>
      <c r="AQ76" s="159" t="str">
        <f>IF(D76="","",IF(AX76="Distinctiveness","N/A",VLOOKUP(F76,'10. Condition and Temporal'!$B$6:$L$103,11,FALSE)))</f>
        <v/>
      </c>
      <c r="AR76" s="163" t="str">
        <f>IF(AQ76="","",IF(AQ76="N/A","1",VLOOKUP(AQ76,'11. Lists'!$I$47:$K$80,3,FALSE)))</f>
        <v/>
      </c>
      <c r="AS76" s="178" t="str">
        <f>IF(D76="","",IF(AX76="Condition","N/A",VLOOKUP(F76,'10. Condition and Temporal'!$B$6:$M$106,12,FALSE)))</f>
        <v/>
      </c>
      <c r="AT76" s="163" t="str">
        <f>IF(AS76="","",IF(AS76="N/A","1",VLOOKUP(AS76,'11. Lists'!$I$47:$K$80,3,FALSE)))</f>
        <v/>
      </c>
      <c r="AU76" s="162" t="str">
        <f>IF(D76="","",VLOOKUP(F76,'9. All Habitats + Multipliers'!$C$4:$K$102,8,FALSE))</f>
        <v/>
      </c>
      <c r="AV76" s="160" t="str">
        <f>IF(AU76="","",VLOOKUP(AU76,'11. Lists'!$J$35:$K$38,2,FALSE))</f>
        <v/>
      </c>
      <c r="AW76" s="159" t="str">
        <f>IF(D76="","",VLOOKUP(D76,'10. Condition and Temporal'!$B$6:$M$103,4,FALSE))</f>
        <v/>
      </c>
      <c r="AX76" s="160" t="str">
        <f t="shared" si="29"/>
        <v/>
      </c>
      <c r="AZ76" s="236"/>
      <c r="BA76" s="61">
        <v>11</v>
      </c>
      <c r="BB76" s="60" t="str">
        <f t="shared" si="30"/>
        <v/>
      </c>
      <c r="BC76" s="60" t="str">
        <f t="shared" si="31"/>
        <v/>
      </c>
      <c r="BD76" s="60" t="str">
        <f t="shared" si="32"/>
        <v/>
      </c>
      <c r="BE76" s="60" t="str">
        <f t="shared" si="33"/>
        <v/>
      </c>
      <c r="BF76" s="60" t="str">
        <f t="shared" si="34"/>
        <v/>
      </c>
      <c r="BG76" s="60" t="str">
        <f t="shared" si="35"/>
        <v/>
      </c>
      <c r="BH76" s="60" t="str">
        <f t="shared" si="36"/>
        <v/>
      </c>
      <c r="BI76" s="60" t="str">
        <f t="shared" si="37"/>
        <v/>
      </c>
      <c r="BJ76" s="60" t="str">
        <f t="shared" si="38"/>
        <v/>
      </c>
      <c r="BK76" s="60" t="str">
        <f t="shared" si="39"/>
        <v/>
      </c>
      <c r="BL76" s="60" t="str">
        <f t="shared" si="40"/>
        <v/>
      </c>
      <c r="BM76" s="60" t="str">
        <f t="shared" si="41"/>
        <v/>
      </c>
      <c r="BN76" s="60" t="str">
        <f t="shared" si="42"/>
        <v/>
      </c>
      <c r="BO76" s="60" t="str">
        <f t="shared" si="43"/>
        <v/>
      </c>
      <c r="BP76" s="60" t="str">
        <f t="shared" si="44"/>
        <v/>
      </c>
      <c r="BQ76" s="60" t="str">
        <f t="shared" si="45"/>
        <v/>
      </c>
      <c r="BR76" s="60" t="str">
        <f t="shared" si="46"/>
        <v/>
      </c>
      <c r="BS76" s="60" t="str">
        <f t="shared" si="47"/>
        <v/>
      </c>
      <c r="BT76" s="60" t="str">
        <f t="shared" si="48"/>
        <v/>
      </c>
      <c r="BU76" s="148" t="str">
        <f t="shared" si="49"/>
        <v/>
      </c>
      <c r="BV76" s="225" t="str">
        <f t="shared" si="50"/>
        <v/>
      </c>
      <c r="BW76" s="60" t="s">
        <v>178</v>
      </c>
      <c r="BX76" s="60">
        <f>BL64</f>
        <v>0</v>
      </c>
    </row>
    <row r="77" spans="1:76" s="97" customFormat="1" ht="15.45" customHeight="1" x14ac:dyDescent="0.3">
      <c r="B77" s="286">
        <v>12</v>
      </c>
      <c r="C77" s="164" t="str">
        <f t="shared" si="12"/>
        <v/>
      </c>
      <c r="D77" s="238" t="str">
        <f t="shared" si="13"/>
        <v/>
      </c>
      <c r="E77" s="208" t="str">
        <f t="shared" si="14"/>
        <v/>
      </c>
      <c r="F77" s="733"/>
      <c r="G77" s="734"/>
      <c r="H77" s="205" t="str">
        <f t="shared" si="15"/>
        <v/>
      </c>
      <c r="I77" s="334" t="str">
        <f t="shared" si="16"/>
        <v/>
      </c>
      <c r="J77" s="871" t="str">
        <f>IFERROR(IF(F77="","",VLOOKUP(F77,'10. Condition and Temporal'!$B$6:$F$103,5,FALSE)), "Error ▲")</f>
        <v/>
      </c>
      <c r="K77" s="872"/>
      <c r="L77" s="305" t="str">
        <f t="shared" si="17"/>
        <v/>
      </c>
      <c r="M77" s="784" t="str">
        <f t="shared" si="18"/>
        <v/>
      </c>
      <c r="N77" s="873"/>
      <c r="O77" s="133"/>
      <c r="P77" s="85"/>
      <c r="R77" s="649"/>
      <c r="T77" s="218" t="str">
        <f t="shared" si="19"/>
        <v/>
      </c>
      <c r="U77" s="159" t="str">
        <f t="shared" si="20"/>
        <v/>
      </c>
      <c r="V77" s="160" t="str">
        <f t="shared" si="21"/>
        <v/>
      </c>
      <c r="W77" s="159" t="str">
        <f t="shared" si="21"/>
        <v/>
      </c>
      <c r="X77" s="60" t="str">
        <f t="shared" si="21"/>
        <v/>
      </c>
      <c r="Y77" s="350"/>
      <c r="Z77" s="350"/>
      <c r="AA77" s="350"/>
      <c r="AB77" s="60" t="str">
        <f t="shared" si="22"/>
        <v/>
      </c>
      <c r="AC77" s="161" t="str">
        <f t="shared" si="23"/>
        <v/>
      </c>
      <c r="AD77" s="160" t="str">
        <f t="shared" si="24"/>
        <v/>
      </c>
      <c r="AE77" s="220" t="str">
        <f t="shared" si="25"/>
        <v/>
      </c>
      <c r="AF77" s="158" t="str">
        <f t="shared" si="26"/>
        <v/>
      </c>
      <c r="AG77" s="159" t="str">
        <f>IF(D77="","",VLOOKUP(F77,'9. All Habitats + Multipliers'!$C$4:$K$102,5,FALSE))</f>
        <v/>
      </c>
      <c r="AH77" s="160" t="str">
        <f>IF(AG77="","",VLOOKUP(AG77,'11. Lists'!$S$47:$U$50,2,FALSE))</f>
        <v/>
      </c>
      <c r="AI77" s="158" t="str">
        <f t="shared" si="27"/>
        <v/>
      </c>
      <c r="AJ77" s="61" t="str">
        <f>IF(AI77="","",VLOOKUP(AI77,'11. Lists'!$F$47:$G$51,2,FALSE))</f>
        <v/>
      </c>
      <c r="AK77" s="350"/>
      <c r="AL77" s="350"/>
      <c r="AM77" s="350"/>
      <c r="AN77" s="148" t="str">
        <f t="shared" si="28"/>
        <v/>
      </c>
      <c r="AO77" s="162" t="str">
        <f>IF(AN77="","",VLOOKUP(AN77,'11. Lists'!$F$36:$H$38,2,FALSE))</f>
        <v/>
      </c>
      <c r="AP77" s="160" t="str">
        <f>IF(AN77="","",VLOOKUP(AN77,'11. Lists'!$F$36:$H$38,3,FALSE))</f>
        <v/>
      </c>
      <c r="AQ77" s="159" t="str">
        <f>IF(D77="","",IF(AX77="Distinctiveness","N/A",VLOOKUP(F77,'10. Condition and Temporal'!$B$6:$L$103,11,FALSE)))</f>
        <v/>
      </c>
      <c r="AR77" s="163" t="str">
        <f>IF(AQ77="","",IF(AQ77="N/A","1",VLOOKUP(AQ77,'11. Lists'!$I$47:$K$80,3,FALSE)))</f>
        <v/>
      </c>
      <c r="AS77" s="178" t="str">
        <f>IF(D77="","",IF(AX77="Condition","N/A",VLOOKUP(F77,'10. Condition and Temporal'!$B$6:$M$106,12,FALSE)))</f>
        <v/>
      </c>
      <c r="AT77" s="163" t="str">
        <f>IF(AS77="","",IF(AS77="N/A","1",VLOOKUP(AS77,'11. Lists'!$I$47:$K$80,3,FALSE)))</f>
        <v/>
      </c>
      <c r="AU77" s="162" t="str">
        <f>IF(D77="","",VLOOKUP(F77,'9. All Habitats + Multipliers'!$C$4:$K$102,8,FALSE))</f>
        <v/>
      </c>
      <c r="AV77" s="160" t="str">
        <f>IF(AU77="","",VLOOKUP(AU77,'11. Lists'!$J$35:$K$38,2,FALSE))</f>
        <v/>
      </c>
      <c r="AW77" s="159" t="str">
        <f>IF(D77="","",VLOOKUP(D77,'10. Condition and Temporal'!$B$6:$M$103,4,FALSE))</f>
        <v/>
      </c>
      <c r="AX77" s="160" t="str">
        <f t="shared" si="29"/>
        <v/>
      </c>
      <c r="AZ77" s="236"/>
      <c r="BA77" s="61">
        <v>12</v>
      </c>
      <c r="BB77" s="60" t="str">
        <f t="shared" si="30"/>
        <v/>
      </c>
      <c r="BC77" s="60" t="str">
        <f t="shared" si="31"/>
        <v/>
      </c>
      <c r="BD77" s="60" t="str">
        <f t="shared" si="32"/>
        <v/>
      </c>
      <c r="BE77" s="60" t="str">
        <f t="shared" si="33"/>
        <v/>
      </c>
      <c r="BF77" s="60" t="str">
        <f t="shared" si="34"/>
        <v/>
      </c>
      <c r="BG77" s="60" t="str">
        <f t="shared" si="35"/>
        <v/>
      </c>
      <c r="BH77" s="60" t="str">
        <f t="shared" si="36"/>
        <v/>
      </c>
      <c r="BI77" s="60" t="str">
        <f t="shared" si="37"/>
        <v/>
      </c>
      <c r="BJ77" s="60" t="str">
        <f t="shared" si="38"/>
        <v/>
      </c>
      <c r="BK77" s="60" t="str">
        <f t="shared" si="39"/>
        <v/>
      </c>
      <c r="BL77" s="60" t="str">
        <f t="shared" si="40"/>
        <v/>
      </c>
      <c r="BM77" s="60" t="str">
        <f t="shared" si="41"/>
        <v/>
      </c>
      <c r="BN77" s="60" t="str">
        <f t="shared" si="42"/>
        <v/>
      </c>
      <c r="BO77" s="60" t="str">
        <f t="shared" si="43"/>
        <v/>
      </c>
      <c r="BP77" s="60" t="str">
        <f t="shared" si="44"/>
        <v/>
      </c>
      <c r="BQ77" s="60" t="str">
        <f t="shared" si="45"/>
        <v/>
      </c>
      <c r="BR77" s="60" t="str">
        <f t="shared" si="46"/>
        <v/>
      </c>
      <c r="BS77" s="60" t="str">
        <f t="shared" si="47"/>
        <v/>
      </c>
      <c r="BT77" s="60" t="str">
        <f t="shared" si="48"/>
        <v/>
      </c>
      <c r="BU77" s="148" t="str">
        <f t="shared" si="49"/>
        <v/>
      </c>
      <c r="BV77" s="225" t="str">
        <f t="shared" si="50"/>
        <v/>
      </c>
      <c r="BW77" s="60" t="s">
        <v>179</v>
      </c>
      <c r="BX77" s="60">
        <f>BM64</f>
        <v>0</v>
      </c>
    </row>
    <row r="78" spans="1:76" s="97" customFormat="1" ht="15.45" customHeight="1" x14ac:dyDescent="0.3">
      <c r="B78" s="286">
        <v>13</v>
      </c>
      <c r="C78" s="164" t="str">
        <f t="shared" si="12"/>
        <v/>
      </c>
      <c r="D78" s="238" t="str">
        <f t="shared" si="13"/>
        <v/>
      </c>
      <c r="E78" s="208" t="str">
        <f t="shared" si="14"/>
        <v/>
      </c>
      <c r="F78" s="733"/>
      <c r="G78" s="734"/>
      <c r="H78" s="205" t="str">
        <f t="shared" si="15"/>
        <v/>
      </c>
      <c r="I78" s="334" t="str">
        <f t="shared" si="16"/>
        <v/>
      </c>
      <c r="J78" s="871" t="str">
        <f>IFERROR(IF(F78="","",VLOOKUP(F78,'10. Condition and Temporal'!$B$6:$F$103,5,FALSE)), "Error ▲")</f>
        <v/>
      </c>
      <c r="K78" s="872"/>
      <c r="L78" s="305" t="str">
        <f t="shared" si="17"/>
        <v/>
      </c>
      <c r="M78" s="784" t="str">
        <f t="shared" si="18"/>
        <v/>
      </c>
      <c r="N78" s="873"/>
      <c r="O78" s="133"/>
      <c r="P78" s="85"/>
      <c r="R78" s="649"/>
      <c r="T78" s="218" t="str">
        <f t="shared" si="19"/>
        <v/>
      </c>
      <c r="U78" s="159" t="str">
        <f t="shared" si="20"/>
        <v/>
      </c>
      <c r="V78" s="160" t="str">
        <f t="shared" si="21"/>
        <v/>
      </c>
      <c r="W78" s="159" t="str">
        <f t="shared" si="21"/>
        <v/>
      </c>
      <c r="X78" s="60" t="str">
        <f t="shared" si="21"/>
        <v/>
      </c>
      <c r="Y78" s="350"/>
      <c r="Z78" s="350"/>
      <c r="AA78" s="350"/>
      <c r="AB78" s="60" t="str">
        <f t="shared" si="22"/>
        <v/>
      </c>
      <c r="AC78" s="161" t="str">
        <f t="shared" si="23"/>
        <v/>
      </c>
      <c r="AD78" s="160" t="str">
        <f t="shared" si="24"/>
        <v/>
      </c>
      <c r="AE78" s="220" t="str">
        <f t="shared" si="25"/>
        <v/>
      </c>
      <c r="AF78" s="158" t="str">
        <f t="shared" si="26"/>
        <v/>
      </c>
      <c r="AG78" s="159" t="str">
        <f>IF(D78="","",VLOOKUP(F78,'9. All Habitats + Multipliers'!$C$4:$K$102,5,FALSE))</f>
        <v/>
      </c>
      <c r="AH78" s="160" t="str">
        <f>IF(AG78="","",VLOOKUP(AG78,'11. Lists'!$S$47:$U$50,2,FALSE))</f>
        <v/>
      </c>
      <c r="AI78" s="158" t="str">
        <f t="shared" si="27"/>
        <v/>
      </c>
      <c r="AJ78" s="61" t="str">
        <f>IF(AI78="","",VLOOKUP(AI78,'11. Lists'!$F$47:$G$51,2,FALSE))</f>
        <v/>
      </c>
      <c r="AK78" s="350"/>
      <c r="AL78" s="350"/>
      <c r="AM78" s="350"/>
      <c r="AN78" s="148" t="str">
        <f t="shared" si="28"/>
        <v/>
      </c>
      <c r="AO78" s="162" t="str">
        <f>IF(AN78="","",VLOOKUP(AN78,'11. Lists'!$F$36:$H$38,2,FALSE))</f>
        <v/>
      </c>
      <c r="AP78" s="160" t="str">
        <f>IF(AN78="","",VLOOKUP(AN78,'11. Lists'!$F$36:$H$38,3,FALSE))</f>
        <v/>
      </c>
      <c r="AQ78" s="159" t="str">
        <f>IF(D78="","",IF(AX78="Distinctiveness","N/A",VLOOKUP(F78,'10. Condition and Temporal'!$B$6:$L$103,11,FALSE)))</f>
        <v/>
      </c>
      <c r="AR78" s="163" t="str">
        <f>IF(AQ78="","",IF(AQ78="N/A","1",VLOOKUP(AQ78,'11. Lists'!$I$47:$K$80,3,FALSE)))</f>
        <v/>
      </c>
      <c r="AS78" s="178" t="str">
        <f>IF(D78="","",IF(AX78="Condition","N/A",VLOOKUP(F78,'10. Condition and Temporal'!$B$6:$M$106,12,FALSE)))</f>
        <v/>
      </c>
      <c r="AT78" s="163" t="str">
        <f>IF(AS78="","",IF(AS78="N/A","1",VLOOKUP(AS78,'11. Lists'!$I$47:$K$80,3,FALSE)))</f>
        <v/>
      </c>
      <c r="AU78" s="162" t="str">
        <f>IF(D78="","",VLOOKUP(F78,'9. All Habitats + Multipliers'!$C$4:$K$102,8,FALSE))</f>
        <v/>
      </c>
      <c r="AV78" s="160" t="str">
        <f>IF(AU78="","",VLOOKUP(AU78,'11. Lists'!$J$35:$K$38,2,FALSE))</f>
        <v/>
      </c>
      <c r="AW78" s="159" t="str">
        <f>IF(D78="","",VLOOKUP(D78,'10. Condition and Temporal'!$B$6:$M$103,4,FALSE))</f>
        <v/>
      </c>
      <c r="AX78" s="160" t="str">
        <f t="shared" si="29"/>
        <v/>
      </c>
      <c r="AZ78" s="236"/>
      <c r="BA78" s="61">
        <v>13</v>
      </c>
      <c r="BB78" s="60" t="str">
        <f t="shared" si="30"/>
        <v/>
      </c>
      <c r="BC78" s="60" t="str">
        <f t="shared" si="31"/>
        <v/>
      </c>
      <c r="BD78" s="60" t="str">
        <f t="shared" si="32"/>
        <v/>
      </c>
      <c r="BE78" s="60" t="str">
        <f t="shared" si="33"/>
        <v/>
      </c>
      <c r="BF78" s="60" t="str">
        <f t="shared" si="34"/>
        <v/>
      </c>
      <c r="BG78" s="60" t="str">
        <f t="shared" si="35"/>
        <v/>
      </c>
      <c r="BH78" s="60" t="str">
        <f t="shared" si="36"/>
        <v/>
      </c>
      <c r="BI78" s="60" t="str">
        <f t="shared" si="37"/>
        <v/>
      </c>
      <c r="BJ78" s="60" t="str">
        <f t="shared" si="38"/>
        <v/>
      </c>
      <c r="BK78" s="60" t="str">
        <f t="shared" si="39"/>
        <v/>
      </c>
      <c r="BL78" s="60" t="str">
        <f t="shared" si="40"/>
        <v/>
      </c>
      <c r="BM78" s="60" t="str">
        <f t="shared" si="41"/>
        <v/>
      </c>
      <c r="BN78" s="60" t="str">
        <f t="shared" si="42"/>
        <v/>
      </c>
      <c r="BO78" s="60" t="str">
        <f t="shared" si="43"/>
        <v/>
      </c>
      <c r="BP78" s="60" t="str">
        <f t="shared" si="44"/>
        <v/>
      </c>
      <c r="BQ78" s="60" t="str">
        <f t="shared" si="45"/>
        <v/>
      </c>
      <c r="BR78" s="60" t="str">
        <f t="shared" si="46"/>
        <v/>
      </c>
      <c r="BS78" s="60" t="str">
        <f t="shared" si="47"/>
        <v/>
      </c>
      <c r="BT78" s="60" t="str">
        <f t="shared" si="48"/>
        <v/>
      </c>
      <c r="BU78" s="148" t="str">
        <f t="shared" si="49"/>
        <v/>
      </c>
      <c r="BV78" s="225" t="str">
        <f t="shared" si="50"/>
        <v/>
      </c>
      <c r="BW78" s="60" t="s">
        <v>180</v>
      </c>
      <c r="BX78" s="60">
        <f>BN64</f>
        <v>0</v>
      </c>
    </row>
    <row r="79" spans="1:76" s="97" customFormat="1" ht="15.45" customHeight="1" x14ac:dyDescent="0.3">
      <c r="B79" s="286">
        <v>14</v>
      </c>
      <c r="C79" s="164" t="str">
        <f t="shared" si="12"/>
        <v/>
      </c>
      <c r="D79" s="238" t="str">
        <f t="shared" si="13"/>
        <v/>
      </c>
      <c r="E79" s="208" t="str">
        <f t="shared" si="14"/>
        <v/>
      </c>
      <c r="F79" s="733"/>
      <c r="G79" s="734"/>
      <c r="H79" s="205" t="str">
        <f t="shared" si="15"/>
        <v/>
      </c>
      <c r="I79" s="334" t="str">
        <f t="shared" si="16"/>
        <v/>
      </c>
      <c r="J79" s="871" t="str">
        <f>IFERROR(IF(F79="","",VLOOKUP(F79,'10. Condition and Temporal'!$B$6:$F$103,5,FALSE)), "Error ▲")</f>
        <v/>
      </c>
      <c r="K79" s="872"/>
      <c r="L79" s="305" t="str">
        <f t="shared" si="17"/>
        <v/>
      </c>
      <c r="M79" s="784" t="str">
        <f t="shared" si="18"/>
        <v/>
      </c>
      <c r="N79" s="873"/>
      <c r="O79" s="133"/>
      <c r="P79" s="85"/>
      <c r="R79" s="649"/>
      <c r="T79" s="218" t="str">
        <f t="shared" si="19"/>
        <v/>
      </c>
      <c r="U79" s="159" t="str">
        <f t="shared" si="20"/>
        <v/>
      </c>
      <c r="V79" s="160" t="str">
        <f t="shared" si="21"/>
        <v/>
      </c>
      <c r="W79" s="159" t="str">
        <f t="shared" si="21"/>
        <v/>
      </c>
      <c r="X79" s="60" t="str">
        <f t="shared" si="21"/>
        <v/>
      </c>
      <c r="Y79" s="350"/>
      <c r="Z79" s="350"/>
      <c r="AA79" s="350"/>
      <c r="AB79" s="60" t="str">
        <f t="shared" si="22"/>
        <v/>
      </c>
      <c r="AC79" s="161" t="str">
        <f t="shared" si="23"/>
        <v/>
      </c>
      <c r="AD79" s="160" t="str">
        <f t="shared" si="24"/>
        <v/>
      </c>
      <c r="AE79" s="220" t="str">
        <f t="shared" si="25"/>
        <v/>
      </c>
      <c r="AF79" s="158" t="str">
        <f t="shared" si="26"/>
        <v/>
      </c>
      <c r="AG79" s="159" t="str">
        <f>IF(D79="","",VLOOKUP(F79,'9. All Habitats + Multipliers'!$C$4:$K$102,5,FALSE))</f>
        <v/>
      </c>
      <c r="AH79" s="160" t="str">
        <f>IF(AG79="","",VLOOKUP(AG79,'11. Lists'!$S$47:$U$50,2,FALSE))</f>
        <v/>
      </c>
      <c r="AI79" s="158" t="str">
        <f t="shared" si="27"/>
        <v/>
      </c>
      <c r="AJ79" s="61" t="str">
        <f>IF(AI79="","",VLOOKUP(AI79,'11. Lists'!$F$47:$G$51,2,FALSE))</f>
        <v/>
      </c>
      <c r="AK79" s="350"/>
      <c r="AL79" s="350"/>
      <c r="AM79" s="350"/>
      <c r="AN79" s="148" t="str">
        <f t="shared" si="28"/>
        <v/>
      </c>
      <c r="AO79" s="162" t="str">
        <f>IF(AN79="","",VLOOKUP(AN79,'11. Lists'!$F$36:$H$38,2,FALSE))</f>
        <v/>
      </c>
      <c r="AP79" s="160" t="str">
        <f>IF(AN79="","",VLOOKUP(AN79,'11. Lists'!$F$36:$H$38,3,FALSE))</f>
        <v/>
      </c>
      <c r="AQ79" s="159" t="str">
        <f>IF(D79="","",IF(AX79="Distinctiveness","N/A",VLOOKUP(F79,'10. Condition and Temporal'!$B$6:$L$103,11,FALSE)))</f>
        <v/>
      </c>
      <c r="AR79" s="163" t="str">
        <f>IF(AQ79="","",IF(AQ79="N/A","1",VLOOKUP(AQ79,'11. Lists'!$I$47:$K$80,3,FALSE)))</f>
        <v/>
      </c>
      <c r="AS79" s="178" t="str">
        <f>IF(D79="","",IF(AX79="Condition","N/A",VLOOKUP(F79,'10. Condition and Temporal'!$B$6:$M$106,12,FALSE)))</f>
        <v/>
      </c>
      <c r="AT79" s="163" t="str">
        <f>IF(AS79="","",IF(AS79="N/A","1",VLOOKUP(AS79,'11. Lists'!$I$47:$K$80,3,FALSE)))</f>
        <v/>
      </c>
      <c r="AU79" s="162" t="str">
        <f>IF(D79="","",VLOOKUP(F79,'9. All Habitats + Multipliers'!$C$4:$K$102,8,FALSE))</f>
        <v/>
      </c>
      <c r="AV79" s="160" t="str">
        <f>IF(AU79="","",VLOOKUP(AU79,'11. Lists'!$J$35:$K$38,2,FALSE))</f>
        <v/>
      </c>
      <c r="AW79" s="159" t="str">
        <f>IF(D79="","",VLOOKUP(D79,'10. Condition and Temporal'!$B$6:$M$103,4,FALSE))</f>
        <v/>
      </c>
      <c r="AX79" s="160" t="str">
        <f t="shared" si="29"/>
        <v/>
      </c>
      <c r="AZ79" s="236"/>
      <c r="BA79" s="61">
        <v>14</v>
      </c>
      <c r="BB79" s="60" t="str">
        <f t="shared" si="30"/>
        <v/>
      </c>
      <c r="BC79" s="60" t="str">
        <f t="shared" si="31"/>
        <v/>
      </c>
      <c r="BD79" s="60" t="str">
        <f t="shared" si="32"/>
        <v/>
      </c>
      <c r="BE79" s="60" t="str">
        <f t="shared" si="33"/>
        <v/>
      </c>
      <c r="BF79" s="60" t="str">
        <f t="shared" si="34"/>
        <v/>
      </c>
      <c r="BG79" s="60" t="str">
        <f t="shared" si="35"/>
        <v/>
      </c>
      <c r="BH79" s="60" t="str">
        <f t="shared" si="36"/>
        <v/>
      </c>
      <c r="BI79" s="60" t="str">
        <f t="shared" si="37"/>
        <v/>
      </c>
      <c r="BJ79" s="60" t="str">
        <f t="shared" si="38"/>
        <v/>
      </c>
      <c r="BK79" s="60" t="str">
        <f t="shared" si="39"/>
        <v/>
      </c>
      <c r="BL79" s="60" t="str">
        <f t="shared" si="40"/>
        <v/>
      </c>
      <c r="BM79" s="60" t="str">
        <f t="shared" si="41"/>
        <v/>
      </c>
      <c r="BN79" s="60" t="str">
        <f t="shared" si="42"/>
        <v/>
      </c>
      <c r="BO79" s="60" t="str">
        <f t="shared" si="43"/>
        <v/>
      </c>
      <c r="BP79" s="60" t="str">
        <f t="shared" si="44"/>
        <v/>
      </c>
      <c r="BQ79" s="60" t="str">
        <f t="shared" si="45"/>
        <v/>
      </c>
      <c r="BR79" s="60" t="str">
        <f t="shared" si="46"/>
        <v/>
      </c>
      <c r="BS79" s="60" t="str">
        <f t="shared" si="47"/>
        <v/>
      </c>
      <c r="BT79" s="60" t="str">
        <f t="shared" si="48"/>
        <v/>
      </c>
      <c r="BU79" s="148" t="str">
        <f t="shared" si="49"/>
        <v/>
      </c>
      <c r="BV79" s="225" t="str">
        <f t="shared" si="50"/>
        <v/>
      </c>
      <c r="BW79" s="60" t="s">
        <v>181</v>
      </c>
      <c r="BX79" s="60">
        <f>BO64</f>
        <v>0</v>
      </c>
    </row>
    <row r="80" spans="1:76" s="97" customFormat="1" ht="15.45" customHeight="1" x14ac:dyDescent="0.3">
      <c r="B80" s="286">
        <v>15</v>
      </c>
      <c r="C80" s="164" t="str">
        <f t="shared" si="12"/>
        <v/>
      </c>
      <c r="D80" s="238" t="str">
        <f t="shared" si="13"/>
        <v/>
      </c>
      <c r="E80" s="208" t="str">
        <f t="shared" si="14"/>
        <v/>
      </c>
      <c r="F80" s="733"/>
      <c r="G80" s="734"/>
      <c r="H80" s="205" t="str">
        <f t="shared" si="15"/>
        <v/>
      </c>
      <c r="I80" s="334" t="str">
        <f t="shared" si="16"/>
        <v/>
      </c>
      <c r="J80" s="871" t="str">
        <f>IFERROR(IF(F80="","",VLOOKUP(F80,'10. Condition and Temporal'!$B$6:$F$103,5,FALSE)), "Error ▲")</f>
        <v/>
      </c>
      <c r="K80" s="872"/>
      <c r="L80" s="305" t="str">
        <f t="shared" si="17"/>
        <v/>
      </c>
      <c r="M80" s="784" t="str">
        <f t="shared" si="18"/>
        <v/>
      </c>
      <c r="N80" s="873"/>
      <c r="O80" s="133"/>
      <c r="P80" s="85"/>
      <c r="R80" s="649"/>
      <c r="T80" s="218" t="str">
        <f t="shared" si="19"/>
        <v/>
      </c>
      <c r="U80" s="159" t="str">
        <f t="shared" si="20"/>
        <v/>
      </c>
      <c r="V80" s="160" t="str">
        <f t="shared" si="21"/>
        <v/>
      </c>
      <c r="W80" s="159" t="str">
        <f t="shared" si="21"/>
        <v/>
      </c>
      <c r="X80" s="60" t="str">
        <f t="shared" si="21"/>
        <v/>
      </c>
      <c r="Y80" s="350"/>
      <c r="Z80" s="350"/>
      <c r="AA80" s="350"/>
      <c r="AB80" s="60" t="str">
        <f t="shared" si="22"/>
        <v/>
      </c>
      <c r="AC80" s="161" t="str">
        <f t="shared" si="23"/>
        <v/>
      </c>
      <c r="AD80" s="160" t="str">
        <f t="shared" si="24"/>
        <v/>
      </c>
      <c r="AE80" s="220" t="str">
        <f t="shared" si="25"/>
        <v/>
      </c>
      <c r="AF80" s="158" t="str">
        <f t="shared" si="26"/>
        <v/>
      </c>
      <c r="AG80" s="159" t="str">
        <f>IF(D80="","",VLOOKUP(F80,'9. All Habitats + Multipliers'!$C$4:$K$102,5,FALSE))</f>
        <v/>
      </c>
      <c r="AH80" s="160" t="str">
        <f>IF(AG80="","",VLOOKUP(AG80,'11. Lists'!$S$47:$U$50,2,FALSE))</f>
        <v/>
      </c>
      <c r="AI80" s="158" t="str">
        <f t="shared" si="27"/>
        <v/>
      </c>
      <c r="AJ80" s="61" t="str">
        <f>IF(AI80="","",VLOOKUP(AI80,'11. Lists'!$F$47:$G$51,2,FALSE))</f>
        <v/>
      </c>
      <c r="AK80" s="350"/>
      <c r="AL80" s="350"/>
      <c r="AM80" s="350"/>
      <c r="AN80" s="148" t="str">
        <f t="shared" si="28"/>
        <v/>
      </c>
      <c r="AO80" s="162" t="str">
        <f>IF(AN80="","",VLOOKUP(AN80,'11. Lists'!$F$36:$H$38,2,FALSE))</f>
        <v/>
      </c>
      <c r="AP80" s="160" t="str">
        <f>IF(AN80="","",VLOOKUP(AN80,'11. Lists'!$F$36:$H$38,3,FALSE))</f>
        <v/>
      </c>
      <c r="AQ80" s="159" t="str">
        <f>IF(D80="","",IF(AX80="Distinctiveness","N/A",VLOOKUP(F80,'10. Condition and Temporal'!$B$6:$L$103,11,FALSE)))</f>
        <v/>
      </c>
      <c r="AR80" s="163" t="str">
        <f>IF(AQ80="","",IF(AQ80="N/A","1",VLOOKUP(AQ80,'11. Lists'!$I$47:$K$80,3,FALSE)))</f>
        <v/>
      </c>
      <c r="AS80" s="178" t="str">
        <f>IF(D80="","",IF(AX80="Condition","N/A",VLOOKUP(F80,'10. Condition and Temporal'!$B$6:$M$106,12,FALSE)))</f>
        <v/>
      </c>
      <c r="AT80" s="163" t="str">
        <f>IF(AS80="","",IF(AS80="N/A","1",VLOOKUP(AS80,'11. Lists'!$I$47:$K$80,3,FALSE)))</f>
        <v/>
      </c>
      <c r="AU80" s="162" t="str">
        <f>IF(D80="","",VLOOKUP(F80,'9. All Habitats + Multipliers'!$C$4:$K$102,8,FALSE))</f>
        <v/>
      </c>
      <c r="AV80" s="160" t="str">
        <f>IF(AU80="","",VLOOKUP(AU80,'11. Lists'!$J$35:$K$38,2,FALSE))</f>
        <v/>
      </c>
      <c r="AW80" s="159" t="str">
        <f>IF(D80="","",VLOOKUP(D80,'10. Condition and Temporal'!$B$6:$M$103,4,FALSE))</f>
        <v/>
      </c>
      <c r="AX80" s="160" t="str">
        <f t="shared" si="29"/>
        <v/>
      </c>
      <c r="AZ80" s="236"/>
      <c r="BA80" s="61">
        <v>15</v>
      </c>
      <c r="BB80" s="60" t="str">
        <f t="shared" si="30"/>
        <v/>
      </c>
      <c r="BC80" s="60" t="str">
        <f t="shared" si="31"/>
        <v/>
      </c>
      <c r="BD80" s="60" t="str">
        <f t="shared" si="32"/>
        <v/>
      </c>
      <c r="BE80" s="60" t="str">
        <f t="shared" si="33"/>
        <v/>
      </c>
      <c r="BF80" s="60" t="str">
        <f t="shared" si="34"/>
        <v/>
      </c>
      <c r="BG80" s="60" t="str">
        <f t="shared" si="35"/>
        <v/>
      </c>
      <c r="BH80" s="60" t="str">
        <f t="shared" si="36"/>
        <v/>
      </c>
      <c r="BI80" s="60" t="str">
        <f t="shared" si="37"/>
        <v/>
      </c>
      <c r="BJ80" s="60" t="str">
        <f t="shared" si="38"/>
        <v/>
      </c>
      <c r="BK80" s="60" t="str">
        <f t="shared" si="39"/>
        <v/>
      </c>
      <c r="BL80" s="60" t="str">
        <f t="shared" si="40"/>
        <v/>
      </c>
      <c r="BM80" s="60" t="str">
        <f t="shared" si="41"/>
        <v/>
      </c>
      <c r="BN80" s="60" t="str">
        <f t="shared" si="42"/>
        <v/>
      </c>
      <c r="BO80" s="60" t="str">
        <f t="shared" si="43"/>
        <v/>
      </c>
      <c r="BP80" s="60" t="str">
        <f t="shared" si="44"/>
        <v/>
      </c>
      <c r="BQ80" s="60" t="str">
        <f t="shared" si="45"/>
        <v/>
      </c>
      <c r="BR80" s="60" t="str">
        <f t="shared" si="46"/>
        <v/>
      </c>
      <c r="BS80" s="60" t="str">
        <f t="shared" si="47"/>
        <v/>
      </c>
      <c r="BT80" s="60" t="str">
        <f t="shared" si="48"/>
        <v/>
      </c>
      <c r="BU80" s="148" t="str">
        <f t="shared" si="49"/>
        <v/>
      </c>
      <c r="BV80" s="225" t="str">
        <f t="shared" si="50"/>
        <v/>
      </c>
      <c r="BW80" s="60" t="s">
        <v>182</v>
      </c>
      <c r="BX80" s="60">
        <f>BP64</f>
        <v>0</v>
      </c>
    </row>
    <row r="81" spans="1:76" s="97" customFormat="1" ht="15.45" customHeight="1" x14ac:dyDescent="0.3">
      <c r="B81" s="286">
        <v>16</v>
      </c>
      <c r="C81" s="164" t="str">
        <f t="shared" si="12"/>
        <v/>
      </c>
      <c r="D81" s="238" t="str">
        <f t="shared" si="13"/>
        <v/>
      </c>
      <c r="E81" s="208" t="str">
        <f t="shared" si="14"/>
        <v/>
      </c>
      <c r="F81" s="733"/>
      <c r="G81" s="734"/>
      <c r="H81" s="205" t="str">
        <f t="shared" si="15"/>
        <v/>
      </c>
      <c r="I81" s="334" t="str">
        <f t="shared" si="16"/>
        <v/>
      </c>
      <c r="J81" s="871" t="str">
        <f>IFERROR(IF(F81="","",VLOOKUP(F81,'10. Condition and Temporal'!$B$6:$F$103,5,FALSE)), "Error ▲")</f>
        <v/>
      </c>
      <c r="K81" s="872"/>
      <c r="L81" s="305" t="str">
        <f t="shared" si="17"/>
        <v/>
      </c>
      <c r="M81" s="784" t="str">
        <f t="shared" si="18"/>
        <v/>
      </c>
      <c r="N81" s="873"/>
      <c r="O81" s="133"/>
      <c r="P81" s="85"/>
      <c r="R81" s="649"/>
      <c r="T81" s="218" t="str">
        <f t="shared" si="19"/>
        <v/>
      </c>
      <c r="U81" s="159" t="str">
        <f t="shared" si="20"/>
        <v/>
      </c>
      <c r="V81" s="160" t="str">
        <f t="shared" si="21"/>
        <v/>
      </c>
      <c r="W81" s="159" t="str">
        <f t="shared" si="21"/>
        <v/>
      </c>
      <c r="X81" s="60" t="str">
        <f t="shared" si="21"/>
        <v/>
      </c>
      <c r="Y81" s="350"/>
      <c r="Z81" s="350"/>
      <c r="AA81" s="350"/>
      <c r="AB81" s="60" t="str">
        <f t="shared" si="22"/>
        <v/>
      </c>
      <c r="AC81" s="161" t="str">
        <f t="shared" si="23"/>
        <v/>
      </c>
      <c r="AD81" s="160" t="str">
        <f t="shared" si="24"/>
        <v/>
      </c>
      <c r="AE81" s="220" t="str">
        <f t="shared" si="25"/>
        <v/>
      </c>
      <c r="AF81" s="158" t="str">
        <f t="shared" si="26"/>
        <v/>
      </c>
      <c r="AG81" s="159" t="str">
        <f>IF(D81="","",VLOOKUP(F81,'9. All Habitats + Multipliers'!$C$4:$K$102,5,FALSE))</f>
        <v/>
      </c>
      <c r="AH81" s="160" t="str">
        <f>IF(AG81="","",VLOOKUP(AG81,'11. Lists'!$S$47:$U$50,2,FALSE))</f>
        <v/>
      </c>
      <c r="AI81" s="158" t="str">
        <f t="shared" si="27"/>
        <v/>
      </c>
      <c r="AJ81" s="61" t="str">
        <f>IF(AI81="","",VLOOKUP(AI81,'11. Lists'!$F$47:$G$51,2,FALSE))</f>
        <v/>
      </c>
      <c r="AK81" s="350"/>
      <c r="AL81" s="350"/>
      <c r="AM81" s="350"/>
      <c r="AN81" s="148" t="str">
        <f t="shared" si="28"/>
        <v/>
      </c>
      <c r="AO81" s="162" t="str">
        <f>IF(AN81="","",VLOOKUP(AN81,'11. Lists'!$F$36:$H$38,2,FALSE))</f>
        <v/>
      </c>
      <c r="AP81" s="160" t="str">
        <f>IF(AN81="","",VLOOKUP(AN81,'11. Lists'!$F$36:$H$38,3,FALSE))</f>
        <v/>
      </c>
      <c r="AQ81" s="159" t="str">
        <f>IF(D81="","",IF(AX81="Distinctiveness","N/A",VLOOKUP(F81,'10. Condition and Temporal'!$B$6:$L$103,11,FALSE)))</f>
        <v/>
      </c>
      <c r="AR81" s="163" t="str">
        <f>IF(AQ81="","",IF(AQ81="N/A","1",VLOOKUP(AQ81,'11. Lists'!$I$47:$K$80,3,FALSE)))</f>
        <v/>
      </c>
      <c r="AS81" s="178" t="str">
        <f>IF(D81="","",IF(AX81="Condition","N/A",VLOOKUP(F81,'10. Condition and Temporal'!$B$6:$M$106,12,FALSE)))</f>
        <v/>
      </c>
      <c r="AT81" s="163" t="str">
        <f>IF(AS81="","",IF(AS81="N/A","1",VLOOKUP(AS81,'11. Lists'!$I$47:$K$80,3,FALSE)))</f>
        <v/>
      </c>
      <c r="AU81" s="162" t="str">
        <f>IF(D81="","",VLOOKUP(F81,'9. All Habitats + Multipliers'!$C$4:$K$102,8,FALSE))</f>
        <v/>
      </c>
      <c r="AV81" s="160" t="str">
        <f>IF(AU81="","",VLOOKUP(AU81,'11. Lists'!$J$35:$K$38,2,FALSE))</f>
        <v/>
      </c>
      <c r="AW81" s="159" t="str">
        <f>IF(D81="","",VLOOKUP(D81,'10. Condition and Temporal'!$B$6:$M$103,4,FALSE))</f>
        <v/>
      </c>
      <c r="AX81" s="160" t="str">
        <f t="shared" si="29"/>
        <v/>
      </c>
      <c r="AZ81" s="236"/>
      <c r="BA81" s="61">
        <v>16</v>
      </c>
      <c r="BB81" s="60" t="str">
        <f t="shared" si="30"/>
        <v/>
      </c>
      <c r="BC81" s="60" t="str">
        <f t="shared" si="31"/>
        <v/>
      </c>
      <c r="BD81" s="60" t="str">
        <f t="shared" si="32"/>
        <v/>
      </c>
      <c r="BE81" s="60" t="str">
        <f t="shared" si="33"/>
        <v/>
      </c>
      <c r="BF81" s="60" t="str">
        <f t="shared" si="34"/>
        <v/>
      </c>
      <c r="BG81" s="60" t="str">
        <f t="shared" si="35"/>
        <v/>
      </c>
      <c r="BH81" s="60" t="str">
        <f t="shared" si="36"/>
        <v/>
      </c>
      <c r="BI81" s="60" t="str">
        <f t="shared" si="37"/>
        <v/>
      </c>
      <c r="BJ81" s="60" t="str">
        <f t="shared" si="38"/>
        <v/>
      </c>
      <c r="BK81" s="60" t="str">
        <f t="shared" si="39"/>
        <v/>
      </c>
      <c r="BL81" s="60" t="str">
        <f t="shared" si="40"/>
        <v/>
      </c>
      <c r="BM81" s="60" t="str">
        <f t="shared" si="41"/>
        <v/>
      </c>
      <c r="BN81" s="60" t="str">
        <f t="shared" si="42"/>
        <v/>
      </c>
      <c r="BO81" s="60" t="str">
        <f t="shared" si="43"/>
        <v/>
      </c>
      <c r="BP81" s="60" t="str">
        <f t="shared" si="44"/>
        <v/>
      </c>
      <c r="BQ81" s="60" t="str">
        <f t="shared" si="45"/>
        <v/>
      </c>
      <c r="BR81" s="60" t="str">
        <f t="shared" si="46"/>
        <v/>
      </c>
      <c r="BS81" s="60" t="str">
        <f t="shared" si="47"/>
        <v/>
      </c>
      <c r="BT81" s="60" t="str">
        <f t="shared" si="48"/>
        <v/>
      </c>
      <c r="BU81" s="148" t="str">
        <f t="shared" si="49"/>
        <v/>
      </c>
      <c r="BV81" s="225" t="str">
        <f t="shared" si="50"/>
        <v/>
      </c>
      <c r="BW81" s="60" t="s">
        <v>183</v>
      </c>
      <c r="BX81" s="60">
        <f>BQ64</f>
        <v>0</v>
      </c>
    </row>
    <row r="82" spans="1:76" s="97" customFormat="1" ht="15.45" customHeight="1" x14ac:dyDescent="0.3">
      <c r="B82" s="286">
        <v>17</v>
      </c>
      <c r="C82" s="164" t="str">
        <f t="shared" si="12"/>
        <v/>
      </c>
      <c r="D82" s="238" t="str">
        <f t="shared" si="13"/>
        <v/>
      </c>
      <c r="E82" s="208" t="str">
        <f t="shared" si="14"/>
        <v/>
      </c>
      <c r="F82" s="733"/>
      <c r="G82" s="734"/>
      <c r="H82" s="205" t="str">
        <f t="shared" si="15"/>
        <v/>
      </c>
      <c r="I82" s="334" t="str">
        <f t="shared" si="16"/>
        <v/>
      </c>
      <c r="J82" s="871" t="str">
        <f>IFERROR(IF(F82="","",VLOOKUP(F82,'10. Condition and Temporal'!$B$6:$F$103,5,FALSE)), "Error ▲")</f>
        <v/>
      </c>
      <c r="K82" s="872"/>
      <c r="L82" s="305" t="str">
        <f t="shared" si="17"/>
        <v/>
      </c>
      <c r="M82" s="784" t="str">
        <f t="shared" si="18"/>
        <v/>
      </c>
      <c r="N82" s="873"/>
      <c r="O82" s="133"/>
      <c r="P82" s="85"/>
      <c r="R82" s="649"/>
      <c r="T82" s="218" t="str">
        <f t="shared" si="19"/>
        <v/>
      </c>
      <c r="U82" s="159" t="str">
        <f t="shared" si="20"/>
        <v/>
      </c>
      <c r="V82" s="160" t="str">
        <f t="shared" si="21"/>
        <v/>
      </c>
      <c r="W82" s="159" t="str">
        <f t="shared" si="21"/>
        <v/>
      </c>
      <c r="X82" s="60" t="str">
        <f t="shared" si="21"/>
        <v/>
      </c>
      <c r="Y82" s="350"/>
      <c r="Z82" s="350"/>
      <c r="AA82" s="350"/>
      <c r="AB82" s="60" t="str">
        <f t="shared" si="22"/>
        <v/>
      </c>
      <c r="AC82" s="161" t="str">
        <f t="shared" si="23"/>
        <v/>
      </c>
      <c r="AD82" s="160" t="str">
        <f t="shared" si="24"/>
        <v/>
      </c>
      <c r="AE82" s="220" t="str">
        <f t="shared" si="25"/>
        <v/>
      </c>
      <c r="AF82" s="158" t="str">
        <f t="shared" si="26"/>
        <v/>
      </c>
      <c r="AG82" s="159" t="str">
        <f>IF(D82="","",VLOOKUP(F82,'9. All Habitats + Multipliers'!$C$4:$K$102,5,FALSE))</f>
        <v/>
      </c>
      <c r="AH82" s="160" t="str">
        <f>IF(AG82="","",VLOOKUP(AG82,'11. Lists'!$S$47:$U$50,2,FALSE))</f>
        <v/>
      </c>
      <c r="AI82" s="158" t="str">
        <f t="shared" si="27"/>
        <v/>
      </c>
      <c r="AJ82" s="61" t="str">
        <f>IF(AI82="","",VLOOKUP(AI82,'11. Lists'!$F$47:$G$51,2,FALSE))</f>
        <v/>
      </c>
      <c r="AK82" s="350"/>
      <c r="AL82" s="350"/>
      <c r="AM82" s="350"/>
      <c r="AN82" s="148" t="str">
        <f t="shared" si="28"/>
        <v/>
      </c>
      <c r="AO82" s="162" t="str">
        <f>IF(AN82="","",VLOOKUP(AN82,'11. Lists'!$F$36:$H$38,2,FALSE))</f>
        <v/>
      </c>
      <c r="AP82" s="160" t="str">
        <f>IF(AN82="","",VLOOKUP(AN82,'11. Lists'!$F$36:$H$38,3,FALSE))</f>
        <v/>
      </c>
      <c r="AQ82" s="159" t="str">
        <f>IF(D82="","",IF(AX82="Distinctiveness","N/A",VLOOKUP(F82,'10. Condition and Temporal'!$B$6:$L$103,11,FALSE)))</f>
        <v/>
      </c>
      <c r="AR82" s="163" t="str">
        <f>IF(AQ82="","",IF(AQ82="N/A","1",VLOOKUP(AQ82,'11. Lists'!$I$47:$K$80,3,FALSE)))</f>
        <v/>
      </c>
      <c r="AS82" s="178" t="str">
        <f>IF(D82="","",IF(AX82="Condition","N/A",VLOOKUP(F82,'10. Condition and Temporal'!$B$6:$M$106,12,FALSE)))</f>
        <v/>
      </c>
      <c r="AT82" s="163" t="str">
        <f>IF(AS82="","",IF(AS82="N/A","1",VLOOKUP(AS82,'11. Lists'!$I$47:$K$80,3,FALSE)))</f>
        <v/>
      </c>
      <c r="AU82" s="162" t="str">
        <f>IF(D82="","",VLOOKUP(F82,'9. All Habitats + Multipliers'!$C$4:$K$102,8,FALSE))</f>
        <v/>
      </c>
      <c r="AV82" s="160" t="str">
        <f>IF(AU82="","",VLOOKUP(AU82,'11. Lists'!$J$35:$K$38,2,FALSE))</f>
        <v/>
      </c>
      <c r="AW82" s="159" t="str">
        <f>IF(D82="","",VLOOKUP(D82,'10. Condition and Temporal'!$B$6:$M$103,4,FALSE))</f>
        <v/>
      </c>
      <c r="AX82" s="160" t="str">
        <f t="shared" si="29"/>
        <v/>
      </c>
      <c r="AZ82" s="236"/>
      <c r="BA82" s="61">
        <v>17</v>
      </c>
      <c r="BB82" s="60" t="str">
        <f t="shared" si="30"/>
        <v/>
      </c>
      <c r="BC82" s="60" t="str">
        <f t="shared" si="31"/>
        <v/>
      </c>
      <c r="BD82" s="60" t="str">
        <f t="shared" si="32"/>
        <v/>
      </c>
      <c r="BE82" s="60" t="str">
        <f t="shared" si="33"/>
        <v/>
      </c>
      <c r="BF82" s="60" t="str">
        <f t="shared" si="34"/>
        <v/>
      </c>
      <c r="BG82" s="60" t="str">
        <f t="shared" si="35"/>
        <v/>
      </c>
      <c r="BH82" s="60" t="str">
        <f t="shared" si="36"/>
        <v/>
      </c>
      <c r="BI82" s="60" t="str">
        <f t="shared" si="37"/>
        <v/>
      </c>
      <c r="BJ82" s="60" t="str">
        <f t="shared" si="38"/>
        <v/>
      </c>
      <c r="BK82" s="60" t="str">
        <f t="shared" si="39"/>
        <v/>
      </c>
      <c r="BL82" s="60" t="str">
        <f t="shared" si="40"/>
        <v/>
      </c>
      <c r="BM82" s="60" t="str">
        <f t="shared" si="41"/>
        <v/>
      </c>
      <c r="BN82" s="60" t="str">
        <f t="shared" si="42"/>
        <v/>
      </c>
      <c r="BO82" s="60" t="str">
        <f t="shared" si="43"/>
        <v/>
      </c>
      <c r="BP82" s="60" t="str">
        <f t="shared" si="44"/>
        <v/>
      </c>
      <c r="BQ82" s="60" t="str">
        <f t="shared" si="45"/>
        <v/>
      </c>
      <c r="BR82" s="60" t="str">
        <f t="shared" si="46"/>
        <v/>
      </c>
      <c r="BS82" s="60" t="str">
        <f t="shared" si="47"/>
        <v/>
      </c>
      <c r="BT82" s="60" t="str">
        <f t="shared" si="48"/>
        <v/>
      </c>
      <c r="BU82" s="148" t="str">
        <f t="shared" si="49"/>
        <v/>
      </c>
      <c r="BV82" s="225" t="str">
        <f t="shared" si="50"/>
        <v/>
      </c>
      <c r="BW82" s="60" t="s">
        <v>184</v>
      </c>
      <c r="BX82" s="60">
        <f>BR64</f>
        <v>0</v>
      </c>
    </row>
    <row r="83" spans="1:76" s="97" customFormat="1" ht="15.45" customHeight="1" x14ac:dyDescent="0.3">
      <c r="B83" s="286">
        <v>18</v>
      </c>
      <c r="C83" s="164" t="str">
        <f t="shared" si="12"/>
        <v/>
      </c>
      <c r="D83" s="238" t="str">
        <f t="shared" si="13"/>
        <v/>
      </c>
      <c r="E83" s="208" t="str">
        <f t="shared" si="14"/>
        <v/>
      </c>
      <c r="F83" s="733"/>
      <c r="G83" s="734"/>
      <c r="H83" s="205" t="str">
        <f t="shared" si="15"/>
        <v/>
      </c>
      <c r="I83" s="334" t="str">
        <f t="shared" si="16"/>
        <v/>
      </c>
      <c r="J83" s="871" t="str">
        <f>IFERROR(IF(F83="","",VLOOKUP(F83,'10. Condition and Temporal'!$B$6:$F$103,5,FALSE)), "Error ▲")</f>
        <v/>
      </c>
      <c r="K83" s="872"/>
      <c r="L83" s="305" t="str">
        <f t="shared" si="17"/>
        <v/>
      </c>
      <c r="M83" s="784" t="str">
        <f t="shared" si="18"/>
        <v/>
      </c>
      <c r="N83" s="873"/>
      <c r="O83" s="133"/>
      <c r="P83" s="85"/>
      <c r="R83" s="649"/>
      <c r="T83" s="218" t="str">
        <f t="shared" si="19"/>
        <v/>
      </c>
      <c r="U83" s="159" t="str">
        <f t="shared" si="20"/>
        <v/>
      </c>
      <c r="V83" s="160" t="str">
        <f t="shared" si="21"/>
        <v/>
      </c>
      <c r="W83" s="159" t="str">
        <f t="shared" si="21"/>
        <v/>
      </c>
      <c r="X83" s="60" t="str">
        <f t="shared" si="21"/>
        <v/>
      </c>
      <c r="Y83" s="350"/>
      <c r="Z83" s="350"/>
      <c r="AA83" s="350"/>
      <c r="AB83" s="60" t="str">
        <f t="shared" si="22"/>
        <v/>
      </c>
      <c r="AC83" s="161" t="str">
        <f t="shared" si="23"/>
        <v/>
      </c>
      <c r="AD83" s="160" t="str">
        <f t="shared" si="24"/>
        <v/>
      </c>
      <c r="AE83" s="220" t="str">
        <f t="shared" si="25"/>
        <v/>
      </c>
      <c r="AF83" s="158" t="str">
        <f t="shared" si="26"/>
        <v/>
      </c>
      <c r="AG83" s="159" t="str">
        <f>IF(D83="","",VLOOKUP(F83,'9. All Habitats + Multipliers'!$C$4:$K$102,5,FALSE))</f>
        <v/>
      </c>
      <c r="AH83" s="160" t="str">
        <f>IF(AG83="","",VLOOKUP(AG83,'11. Lists'!$S$47:$U$50,2,FALSE))</f>
        <v/>
      </c>
      <c r="AI83" s="158" t="str">
        <f t="shared" si="27"/>
        <v/>
      </c>
      <c r="AJ83" s="61" t="str">
        <f>IF(AI83="","",VLOOKUP(AI83,'11. Lists'!$F$47:$G$51,2,FALSE))</f>
        <v/>
      </c>
      <c r="AK83" s="350"/>
      <c r="AL83" s="350"/>
      <c r="AM83" s="350"/>
      <c r="AN83" s="148" t="str">
        <f t="shared" si="28"/>
        <v/>
      </c>
      <c r="AO83" s="162" t="str">
        <f>IF(AN83="","",VLOOKUP(AN83,'11. Lists'!$F$36:$H$38,2,FALSE))</f>
        <v/>
      </c>
      <c r="AP83" s="160" t="str">
        <f>IF(AN83="","",VLOOKUP(AN83,'11. Lists'!$F$36:$H$38,3,FALSE))</f>
        <v/>
      </c>
      <c r="AQ83" s="159" t="str">
        <f>IF(D83="","",IF(AX83="Distinctiveness","N/A",VLOOKUP(F83,'10. Condition and Temporal'!$B$6:$L$103,11,FALSE)))</f>
        <v/>
      </c>
      <c r="AR83" s="163" t="str">
        <f>IF(AQ83="","",IF(AQ83="N/A","1",VLOOKUP(AQ83,'11. Lists'!$I$47:$K$80,3,FALSE)))</f>
        <v/>
      </c>
      <c r="AS83" s="178" t="str">
        <f>IF(D83="","",IF(AX83="Condition","N/A",VLOOKUP(F83,'10. Condition and Temporal'!$B$6:$M$106,12,FALSE)))</f>
        <v/>
      </c>
      <c r="AT83" s="163" t="str">
        <f>IF(AS83="","",IF(AS83="N/A","1",VLOOKUP(AS83,'11. Lists'!$I$47:$K$80,3,FALSE)))</f>
        <v/>
      </c>
      <c r="AU83" s="162" t="str">
        <f>IF(D83="","",VLOOKUP(F83,'9. All Habitats + Multipliers'!$C$4:$K$102,8,FALSE))</f>
        <v/>
      </c>
      <c r="AV83" s="160" t="str">
        <f>IF(AU83="","",VLOOKUP(AU83,'11. Lists'!$J$35:$K$38,2,FALSE))</f>
        <v/>
      </c>
      <c r="AW83" s="159" t="str">
        <f>IF(D83="","",VLOOKUP(D83,'10. Condition and Temporal'!$B$6:$M$103,4,FALSE))</f>
        <v/>
      </c>
      <c r="AX83" s="160" t="str">
        <f t="shared" si="29"/>
        <v/>
      </c>
      <c r="AZ83" s="236"/>
      <c r="BA83" s="61">
        <v>18</v>
      </c>
      <c r="BB83" s="60" t="str">
        <f t="shared" si="30"/>
        <v/>
      </c>
      <c r="BC83" s="60" t="str">
        <f t="shared" si="31"/>
        <v/>
      </c>
      <c r="BD83" s="60" t="str">
        <f t="shared" si="32"/>
        <v/>
      </c>
      <c r="BE83" s="60" t="str">
        <f t="shared" si="33"/>
        <v/>
      </c>
      <c r="BF83" s="60" t="str">
        <f t="shared" si="34"/>
        <v/>
      </c>
      <c r="BG83" s="60" t="str">
        <f t="shared" si="35"/>
        <v/>
      </c>
      <c r="BH83" s="60" t="str">
        <f t="shared" si="36"/>
        <v/>
      </c>
      <c r="BI83" s="60" t="str">
        <f t="shared" si="37"/>
        <v/>
      </c>
      <c r="BJ83" s="60" t="str">
        <f t="shared" si="38"/>
        <v/>
      </c>
      <c r="BK83" s="60" t="str">
        <f t="shared" si="39"/>
        <v/>
      </c>
      <c r="BL83" s="60" t="str">
        <f t="shared" si="40"/>
        <v/>
      </c>
      <c r="BM83" s="60" t="str">
        <f t="shared" si="41"/>
        <v/>
      </c>
      <c r="BN83" s="60" t="str">
        <f t="shared" si="42"/>
        <v/>
      </c>
      <c r="BO83" s="60" t="str">
        <f t="shared" si="43"/>
        <v/>
      </c>
      <c r="BP83" s="60" t="str">
        <f t="shared" si="44"/>
        <v/>
      </c>
      <c r="BQ83" s="60" t="str">
        <f t="shared" si="45"/>
        <v/>
      </c>
      <c r="BR83" s="60" t="str">
        <f t="shared" si="46"/>
        <v/>
      </c>
      <c r="BS83" s="60" t="str">
        <f t="shared" si="47"/>
        <v/>
      </c>
      <c r="BT83" s="60" t="str">
        <f t="shared" si="48"/>
        <v/>
      </c>
      <c r="BU83" s="148" t="str">
        <f t="shared" si="49"/>
        <v/>
      </c>
      <c r="BV83" s="225" t="str">
        <f t="shared" si="50"/>
        <v/>
      </c>
      <c r="BW83" s="60" t="s">
        <v>185</v>
      </c>
      <c r="BX83" s="60">
        <f>BS64</f>
        <v>0</v>
      </c>
    </row>
    <row r="84" spans="1:76" s="97" customFormat="1" ht="15.45" customHeight="1" x14ac:dyDescent="0.3">
      <c r="B84" s="286">
        <v>19</v>
      </c>
      <c r="C84" s="164" t="str">
        <f t="shared" si="12"/>
        <v/>
      </c>
      <c r="D84" s="238" t="str">
        <f t="shared" si="13"/>
        <v/>
      </c>
      <c r="E84" s="208" t="str">
        <f t="shared" si="14"/>
        <v/>
      </c>
      <c r="F84" s="733"/>
      <c r="G84" s="734"/>
      <c r="H84" s="205" t="str">
        <f t="shared" si="15"/>
        <v/>
      </c>
      <c r="I84" s="334" t="str">
        <f t="shared" si="16"/>
        <v/>
      </c>
      <c r="J84" s="871" t="str">
        <f>IFERROR(IF(F84="","",VLOOKUP(F84,'10. Condition and Temporal'!$B$6:$F$103,5,FALSE)), "Error ▲")</f>
        <v/>
      </c>
      <c r="K84" s="872"/>
      <c r="L84" s="305" t="str">
        <f t="shared" si="17"/>
        <v/>
      </c>
      <c r="M84" s="784" t="str">
        <f t="shared" si="18"/>
        <v/>
      </c>
      <c r="N84" s="873"/>
      <c r="O84" s="133"/>
      <c r="P84" s="85"/>
      <c r="R84" s="649"/>
      <c r="T84" s="218" t="str">
        <f t="shared" si="19"/>
        <v/>
      </c>
      <c r="U84" s="159" t="str">
        <f t="shared" si="20"/>
        <v/>
      </c>
      <c r="V84" s="160" t="str">
        <f t="shared" si="21"/>
        <v/>
      </c>
      <c r="W84" s="159" t="str">
        <f t="shared" si="21"/>
        <v/>
      </c>
      <c r="X84" s="60" t="str">
        <f t="shared" si="21"/>
        <v/>
      </c>
      <c r="Y84" s="350"/>
      <c r="Z84" s="350"/>
      <c r="AA84" s="350"/>
      <c r="AB84" s="60" t="str">
        <f t="shared" si="22"/>
        <v/>
      </c>
      <c r="AC84" s="161" t="str">
        <f t="shared" si="23"/>
        <v/>
      </c>
      <c r="AD84" s="160" t="str">
        <f t="shared" si="24"/>
        <v/>
      </c>
      <c r="AE84" s="220" t="str">
        <f t="shared" si="25"/>
        <v/>
      </c>
      <c r="AF84" s="158" t="str">
        <f t="shared" si="26"/>
        <v/>
      </c>
      <c r="AG84" s="159" t="str">
        <f>IF(D84="","",VLOOKUP(F84,'9. All Habitats + Multipliers'!$C$4:$K$102,5,FALSE))</f>
        <v/>
      </c>
      <c r="AH84" s="160" t="str">
        <f>IF(AG84="","",VLOOKUP(AG84,'11. Lists'!$S$47:$U$50,2,FALSE))</f>
        <v/>
      </c>
      <c r="AI84" s="158" t="str">
        <f t="shared" si="27"/>
        <v/>
      </c>
      <c r="AJ84" s="61" t="str">
        <f>IF(AI84="","",VLOOKUP(AI84,'11. Lists'!$F$47:$G$51,2,FALSE))</f>
        <v/>
      </c>
      <c r="AK84" s="350"/>
      <c r="AL84" s="350"/>
      <c r="AM84" s="350"/>
      <c r="AN84" s="148" t="str">
        <f t="shared" si="28"/>
        <v/>
      </c>
      <c r="AO84" s="162" t="str">
        <f>IF(AN84="","",VLOOKUP(AN84,'11. Lists'!$F$36:$H$38,2,FALSE))</f>
        <v/>
      </c>
      <c r="AP84" s="160" t="str">
        <f>IF(AN84="","",VLOOKUP(AN84,'11. Lists'!$F$36:$H$38,3,FALSE))</f>
        <v/>
      </c>
      <c r="AQ84" s="159" t="str">
        <f>IF(D84="","",IF(AX84="Distinctiveness","N/A",VLOOKUP(F84,'10. Condition and Temporal'!$B$6:$L$103,11,FALSE)))</f>
        <v/>
      </c>
      <c r="AR84" s="163" t="str">
        <f>IF(AQ84="","",IF(AQ84="N/A","1",VLOOKUP(AQ84,'11. Lists'!$I$47:$K$80,3,FALSE)))</f>
        <v/>
      </c>
      <c r="AS84" s="178" t="str">
        <f>IF(D84="","",IF(AX84="Condition","N/A",VLOOKUP(F84,'10. Condition and Temporal'!$B$6:$M$106,12,FALSE)))</f>
        <v/>
      </c>
      <c r="AT84" s="163" t="str">
        <f>IF(AS84="","",IF(AS84="N/A","1",VLOOKUP(AS84,'11. Lists'!$I$47:$K$80,3,FALSE)))</f>
        <v/>
      </c>
      <c r="AU84" s="162" t="str">
        <f>IF(D84="","",VLOOKUP(F84,'9. All Habitats + Multipliers'!$C$4:$K$102,8,FALSE))</f>
        <v/>
      </c>
      <c r="AV84" s="160" t="str">
        <f>IF(AU84="","",VLOOKUP(AU84,'11. Lists'!$J$35:$K$38,2,FALSE))</f>
        <v/>
      </c>
      <c r="AW84" s="159" t="str">
        <f>IF(D84="","",VLOOKUP(D84,'10. Condition and Temporal'!$B$6:$M$103,4,FALSE))</f>
        <v/>
      </c>
      <c r="AX84" s="160" t="str">
        <f t="shared" si="29"/>
        <v/>
      </c>
      <c r="AZ84" s="236"/>
      <c r="BA84" s="61">
        <v>19</v>
      </c>
      <c r="BB84" s="60" t="str">
        <f t="shared" si="30"/>
        <v/>
      </c>
      <c r="BC84" s="60" t="str">
        <f t="shared" si="31"/>
        <v/>
      </c>
      <c r="BD84" s="60" t="str">
        <f t="shared" si="32"/>
        <v/>
      </c>
      <c r="BE84" s="60" t="str">
        <f t="shared" si="33"/>
        <v/>
      </c>
      <c r="BF84" s="60" t="str">
        <f t="shared" si="34"/>
        <v/>
      </c>
      <c r="BG84" s="60" t="str">
        <f t="shared" si="35"/>
        <v/>
      </c>
      <c r="BH84" s="60" t="str">
        <f t="shared" si="36"/>
        <v/>
      </c>
      <c r="BI84" s="60" t="str">
        <f t="shared" si="37"/>
        <v/>
      </c>
      <c r="BJ84" s="60" t="str">
        <f t="shared" si="38"/>
        <v/>
      </c>
      <c r="BK84" s="60" t="str">
        <f t="shared" si="39"/>
        <v/>
      </c>
      <c r="BL84" s="60" t="str">
        <f t="shared" si="40"/>
        <v/>
      </c>
      <c r="BM84" s="60" t="str">
        <f t="shared" si="41"/>
        <v/>
      </c>
      <c r="BN84" s="60" t="str">
        <f t="shared" si="42"/>
        <v/>
      </c>
      <c r="BO84" s="60" t="str">
        <f t="shared" si="43"/>
        <v/>
      </c>
      <c r="BP84" s="60" t="str">
        <f t="shared" si="44"/>
        <v/>
      </c>
      <c r="BQ84" s="60" t="str">
        <f t="shared" si="45"/>
        <v/>
      </c>
      <c r="BR84" s="60" t="str">
        <f t="shared" si="46"/>
        <v/>
      </c>
      <c r="BS84" s="60" t="str">
        <f t="shared" si="47"/>
        <v/>
      </c>
      <c r="BT84" s="60" t="str">
        <f t="shared" si="48"/>
        <v/>
      </c>
      <c r="BU84" s="148" t="str">
        <f t="shared" si="49"/>
        <v/>
      </c>
      <c r="BV84" s="225" t="str">
        <f t="shared" si="50"/>
        <v/>
      </c>
      <c r="BW84" s="60" t="s">
        <v>186</v>
      </c>
      <c r="BX84" s="60">
        <f>BT64</f>
        <v>0</v>
      </c>
    </row>
    <row r="85" spans="1:76" s="97" customFormat="1" ht="16.2" customHeight="1" x14ac:dyDescent="0.3">
      <c r="B85" s="287">
        <v>20</v>
      </c>
      <c r="C85" s="182" t="str">
        <f t="shared" si="12"/>
        <v/>
      </c>
      <c r="D85" s="418" t="str">
        <f t="shared" si="13"/>
        <v/>
      </c>
      <c r="E85" s="209" t="str">
        <f t="shared" si="14"/>
        <v/>
      </c>
      <c r="F85" s="739"/>
      <c r="G85" s="740"/>
      <c r="H85" s="206" t="str">
        <f t="shared" si="15"/>
        <v/>
      </c>
      <c r="I85" s="419" t="str">
        <f t="shared" si="16"/>
        <v/>
      </c>
      <c r="J85" s="861" t="str">
        <f>IFERROR(IF(F85="","",VLOOKUP(F85,'10. Condition and Temporal'!$B$6:$F$103,5,FALSE)), "Error ▲")</f>
        <v/>
      </c>
      <c r="K85" s="862"/>
      <c r="L85" s="420" t="str">
        <f t="shared" si="17"/>
        <v/>
      </c>
      <c r="M85" s="863" t="str">
        <f t="shared" si="18"/>
        <v/>
      </c>
      <c r="N85" s="864"/>
      <c r="O85" s="134"/>
      <c r="P85" s="87"/>
      <c r="R85" s="649"/>
      <c r="T85" s="218" t="str">
        <f t="shared" si="19"/>
        <v/>
      </c>
      <c r="U85" s="159" t="str">
        <f t="shared" si="20"/>
        <v/>
      </c>
      <c r="V85" s="160" t="str">
        <f t="shared" si="21"/>
        <v/>
      </c>
      <c r="W85" s="159" t="str">
        <f t="shared" si="21"/>
        <v/>
      </c>
      <c r="X85" s="60" t="str">
        <f t="shared" si="21"/>
        <v/>
      </c>
      <c r="Y85" s="350"/>
      <c r="Z85" s="350"/>
      <c r="AA85" s="350"/>
      <c r="AB85" s="60" t="str">
        <f t="shared" si="22"/>
        <v/>
      </c>
      <c r="AC85" s="161" t="str">
        <f t="shared" si="23"/>
        <v/>
      </c>
      <c r="AD85" s="160" t="str">
        <f t="shared" si="24"/>
        <v/>
      </c>
      <c r="AE85" s="220" t="str">
        <f t="shared" si="25"/>
        <v/>
      </c>
      <c r="AF85" s="158" t="str">
        <f t="shared" si="26"/>
        <v/>
      </c>
      <c r="AG85" s="159" t="str">
        <f>IF(D85="","",VLOOKUP(F85,'9. All Habitats + Multipliers'!$C$4:$K$102,5,FALSE))</f>
        <v/>
      </c>
      <c r="AH85" s="160" t="str">
        <f>IF(AG85="","",VLOOKUP(AG85,'11. Lists'!$S$47:$U$50,2,FALSE))</f>
        <v/>
      </c>
      <c r="AI85" s="158" t="str">
        <f t="shared" si="27"/>
        <v/>
      </c>
      <c r="AJ85" s="57" t="str">
        <f>IF(AI85="","",VLOOKUP(AI85,'11. Lists'!$F$47:$G$51,2,FALSE))</f>
        <v/>
      </c>
      <c r="AK85" s="365"/>
      <c r="AL85" s="365"/>
      <c r="AM85" s="365"/>
      <c r="AN85" s="151" t="str">
        <f t="shared" si="28"/>
        <v/>
      </c>
      <c r="AO85" s="162" t="str">
        <f>IF(AN85="","",VLOOKUP(AN85,'11. Lists'!$F$36:$H$38,2,FALSE))</f>
        <v/>
      </c>
      <c r="AP85" s="160" t="str">
        <f>IF(AN85="","",VLOOKUP(AN85,'11. Lists'!$F$36:$H$38,3,FALSE))</f>
        <v/>
      </c>
      <c r="AQ85" s="159" t="str">
        <f>IF(D85="","",IF(AX85="Distinctiveness","N/A",VLOOKUP(F85,'10. Condition and Temporal'!$B$6:$L$103,11,FALSE)))</f>
        <v/>
      </c>
      <c r="AR85" s="163" t="str">
        <f>IF(AQ85="","",IF(AQ85="N/A","1",VLOOKUP(AQ85,'11. Lists'!$I$47:$K$80,3,FALSE)))</f>
        <v/>
      </c>
      <c r="AS85" s="178" t="str">
        <f>IF(D85="","",IF(AX85="Condition","N/A",VLOOKUP(F85,'10. Condition and Temporal'!$B$6:$M$106,12,FALSE)))</f>
        <v/>
      </c>
      <c r="AT85" s="163" t="str">
        <f>IF(AS85="","",IF(AS85="N/A","1",VLOOKUP(AS85,'11. Lists'!$I$47:$K$80,3,FALSE)))</f>
        <v/>
      </c>
      <c r="AU85" s="162" t="str">
        <f>IF(D85="","",VLOOKUP(F85,'9. All Habitats + Multipliers'!$C$4:$K$102,8,FALSE))</f>
        <v/>
      </c>
      <c r="AV85" s="160" t="str">
        <f>IF(AU85="","",VLOOKUP(AU85,'11. Lists'!$J$35:$K$38,2,FALSE))</f>
        <v/>
      </c>
      <c r="AW85" s="159" t="str">
        <f>IF(D85="","",VLOOKUP(D85,'10. Condition and Temporal'!$B$6:$M$103,4,FALSE))</f>
        <v/>
      </c>
      <c r="AX85" s="160" t="str">
        <f t="shared" si="29"/>
        <v/>
      </c>
      <c r="AZ85" s="236"/>
      <c r="BA85" s="57">
        <v>20</v>
      </c>
      <c r="BB85" s="60" t="str">
        <f t="shared" si="30"/>
        <v/>
      </c>
      <c r="BC85" s="60" t="str">
        <f t="shared" si="31"/>
        <v/>
      </c>
      <c r="BD85" s="60" t="str">
        <f t="shared" si="32"/>
        <v/>
      </c>
      <c r="BE85" s="60" t="str">
        <f t="shared" si="33"/>
        <v/>
      </c>
      <c r="BF85" s="60" t="str">
        <f t="shared" si="34"/>
        <v/>
      </c>
      <c r="BG85" s="60" t="str">
        <f t="shared" si="35"/>
        <v/>
      </c>
      <c r="BH85" s="60" t="str">
        <f t="shared" si="36"/>
        <v/>
      </c>
      <c r="BI85" s="60" t="str">
        <f t="shared" si="37"/>
        <v/>
      </c>
      <c r="BJ85" s="60" t="str">
        <f t="shared" si="38"/>
        <v/>
      </c>
      <c r="BK85" s="60" t="str">
        <f t="shared" si="39"/>
        <v/>
      </c>
      <c r="BL85" s="60" t="str">
        <f t="shared" si="40"/>
        <v/>
      </c>
      <c r="BM85" s="60" t="str">
        <f t="shared" si="41"/>
        <v/>
      </c>
      <c r="BN85" s="60" t="str">
        <f t="shared" si="42"/>
        <v/>
      </c>
      <c r="BO85" s="60" t="str">
        <f t="shared" si="43"/>
        <v/>
      </c>
      <c r="BP85" s="60" t="str">
        <f t="shared" si="44"/>
        <v/>
      </c>
      <c r="BQ85" s="60" t="str">
        <f t="shared" si="45"/>
        <v/>
      </c>
      <c r="BR85" s="60" t="str">
        <f t="shared" si="46"/>
        <v/>
      </c>
      <c r="BS85" s="60" t="str">
        <f t="shared" si="47"/>
        <v/>
      </c>
      <c r="BT85" s="60" t="str">
        <f t="shared" si="48"/>
        <v/>
      </c>
      <c r="BU85" s="148" t="str">
        <f t="shared" si="49"/>
        <v/>
      </c>
      <c r="BV85" s="225" t="str">
        <f t="shared" si="50"/>
        <v/>
      </c>
      <c r="BW85" s="60" t="s">
        <v>187</v>
      </c>
      <c r="BX85" s="60">
        <f>BU64</f>
        <v>0</v>
      </c>
    </row>
    <row r="86" spans="1:76" s="97" customFormat="1" ht="15" customHeight="1" x14ac:dyDescent="0.3">
      <c r="H86" s="290" t="s">
        <v>238</v>
      </c>
      <c r="I86" s="336">
        <f>SUM(I66:I85)</f>
        <v>0</v>
      </c>
      <c r="J86" s="412"/>
      <c r="L86" s="33">
        <f>SUM(L66:L85)</f>
        <v>0</v>
      </c>
      <c r="M86" s="865">
        <f>SUM(M66:N85)</f>
        <v>0</v>
      </c>
      <c r="N86" s="864"/>
      <c r="R86" s="649"/>
    </row>
    <row r="87" spans="1:76" s="97" customFormat="1" x14ac:dyDescent="0.3">
      <c r="C87" s="98"/>
      <c r="R87" s="649"/>
    </row>
    <row r="88" spans="1:76" s="97" customFormat="1" x14ac:dyDescent="0.3">
      <c r="R88" s="649"/>
    </row>
    <row r="89" spans="1:76" s="97" customFormat="1" ht="19.2" customHeight="1" x14ac:dyDescent="0.3">
      <c r="R89" s="649"/>
    </row>
    <row r="90" spans="1:76" s="97" customFormat="1" x14ac:dyDescent="0.3">
      <c r="R90" s="649"/>
    </row>
    <row r="91" spans="1:76" s="97" customFormat="1" x14ac:dyDescent="0.3">
      <c r="A91" s="683" t="s">
        <v>202</v>
      </c>
      <c r="B91" s="683"/>
      <c r="C91" s="683"/>
      <c r="D91" s="683"/>
      <c r="E91" s="683"/>
      <c r="F91" s="683"/>
      <c r="G91" s="683"/>
      <c r="H91" s="683"/>
      <c r="I91" s="683"/>
      <c r="J91" s="683"/>
      <c r="K91" s="683"/>
      <c r="L91" s="683"/>
      <c r="M91" s="683"/>
      <c r="N91" s="683"/>
      <c r="O91" s="683"/>
      <c r="P91" s="683"/>
      <c r="Q91" s="683"/>
      <c r="R91" s="649"/>
    </row>
    <row r="92" spans="1:76" s="97" customFormat="1" x14ac:dyDescent="0.3">
      <c r="A92" s="683"/>
      <c r="B92" s="683"/>
      <c r="C92" s="683"/>
      <c r="D92" s="683"/>
      <c r="E92" s="683"/>
      <c r="F92" s="683"/>
      <c r="G92" s="683"/>
      <c r="H92" s="683"/>
      <c r="I92" s="683"/>
      <c r="J92" s="683"/>
      <c r="K92" s="683"/>
      <c r="L92" s="683"/>
      <c r="M92" s="683"/>
      <c r="N92" s="683"/>
      <c r="O92" s="683"/>
      <c r="P92" s="683"/>
      <c r="Q92" s="683"/>
      <c r="R92" s="649"/>
    </row>
    <row r="93" spans="1:76" s="97" customFormat="1" x14ac:dyDescent="0.3">
      <c r="A93" s="683"/>
      <c r="B93" s="683"/>
      <c r="C93" s="683"/>
      <c r="D93" s="683"/>
      <c r="E93" s="683"/>
      <c r="F93" s="683"/>
      <c r="G93" s="683"/>
      <c r="H93" s="683"/>
      <c r="I93" s="683"/>
      <c r="J93" s="683"/>
      <c r="K93" s="683"/>
      <c r="L93" s="683"/>
      <c r="M93" s="683"/>
      <c r="N93" s="683"/>
      <c r="O93" s="683"/>
      <c r="P93" s="683"/>
      <c r="Q93" s="683"/>
      <c r="R93" s="649"/>
    </row>
    <row r="94" spans="1:76" s="97" customFormat="1" x14ac:dyDescent="0.3">
      <c r="R94" s="649"/>
    </row>
    <row r="95" spans="1:76" s="97" customFormat="1" ht="21" customHeight="1" x14ac:dyDescent="0.4">
      <c r="B95" s="119" t="s">
        <v>203</v>
      </c>
      <c r="D95" s="98"/>
      <c r="E95" s="98"/>
      <c r="F95" s="98"/>
      <c r="G95" s="98"/>
      <c r="R95" s="649"/>
    </row>
    <row r="96" spans="1:76" s="97" customFormat="1" ht="15" customHeight="1" x14ac:dyDescent="0.3">
      <c r="R96" s="649"/>
    </row>
    <row r="97" spans="2:18" s="97" customFormat="1" ht="36.75" customHeight="1" x14ac:dyDescent="0.3">
      <c r="B97" s="866" t="s">
        <v>243</v>
      </c>
      <c r="C97" s="867"/>
      <c r="D97" s="868"/>
      <c r="E97" s="869" t="str" cm="1">
        <f t="array" aca="1" ref="E97" ca="1">IF(OR(H103:H113="No ▲"),"Error - Trading Rules Not Satisfied ▲","Trading Rules Satisfied ✓")</f>
        <v>Trading Rules Satisfied ✓</v>
      </c>
      <c r="F97" s="869"/>
      <c r="G97" s="869"/>
      <c r="H97" s="869"/>
      <c r="I97" s="870"/>
      <c r="J97" s="200">
        <f ca="1">IFERROR(FIND("Error",E97),0)</f>
        <v>0</v>
      </c>
      <c r="R97" s="649"/>
    </row>
    <row r="98" spans="2:18" s="97" customFormat="1" x14ac:dyDescent="0.3">
      <c r="R98" s="649"/>
    </row>
    <row r="99" spans="2:18" s="97" customFormat="1" ht="21" customHeight="1" x14ac:dyDescent="0.4">
      <c r="B99" s="119" t="s">
        <v>206</v>
      </c>
      <c r="R99" s="649"/>
    </row>
    <row r="100" spans="2:18" s="97" customFormat="1" x14ac:dyDescent="0.3">
      <c r="R100" s="649"/>
    </row>
    <row r="101" spans="2:18" s="97" customFormat="1" ht="15" customHeight="1" x14ac:dyDescent="0.3">
      <c r="R101" s="649"/>
    </row>
    <row r="102" spans="2:18" s="97" customFormat="1" ht="51" customHeight="1" x14ac:dyDescent="0.3">
      <c r="B102" s="454" t="s">
        <v>144</v>
      </c>
      <c r="C102" s="449" t="s">
        <v>96</v>
      </c>
      <c r="D102" s="449" t="s">
        <v>60</v>
      </c>
      <c r="E102" s="449" t="s">
        <v>209</v>
      </c>
      <c r="F102" s="449" t="s">
        <v>210</v>
      </c>
      <c r="G102" s="449" t="s">
        <v>211</v>
      </c>
      <c r="H102" s="439" t="s">
        <v>212</v>
      </c>
      <c r="I102" s="428"/>
      <c r="R102" s="649"/>
    </row>
    <row r="103" spans="2:18" s="97" customFormat="1" ht="30.75" customHeight="1" x14ac:dyDescent="0.3">
      <c r="B103" s="848" t="s">
        <v>237</v>
      </c>
      <c r="C103" s="851" t="s">
        <v>216</v>
      </c>
      <c r="D103" s="450" t="s">
        <v>244</v>
      </c>
      <c r="E103" s="451">
        <f ca="1">SUMIF($D$11:$E$30,D103,$L$11:$L$30)</f>
        <v>0</v>
      </c>
      <c r="F103" s="451">
        <f>IF($I$31+$I$59+$I$86=0,0,SUMIF($D$39:$D$58,D103,$L$39:$N$58)+SUMIF($F$66:$G$85,D103,$L$66:$L$85)+SUMIF($D$11:$E$30,D103,$AE$11:$AE$30))</f>
        <v>0</v>
      </c>
      <c r="G103" s="451">
        <f ca="1">$F$103-$E$103</f>
        <v>0</v>
      </c>
      <c r="H103" s="854" t="str">
        <f ca="1">IF(G108&gt;=0, "Yes ✓", "No ▲")</f>
        <v>Yes ✓</v>
      </c>
      <c r="I103" s="428"/>
      <c r="R103" s="649"/>
    </row>
    <row r="104" spans="2:18" s="97" customFormat="1" ht="30.75" customHeight="1" x14ac:dyDescent="0.3">
      <c r="B104" s="849"/>
      <c r="C104" s="852"/>
      <c r="D104" s="430" t="s">
        <v>245</v>
      </c>
      <c r="E104" s="431">
        <f ca="1">SUMIF($D$11:$E$30,D104,$L$11:$L$30)</f>
        <v>0</v>
      </c>
      <c r="F104" s="431">
        <f>IF($I$31+$I$59+$I$86=0,0,SUMIF($D$39:$D$58,D104,$L$39:$N$58)+SUMIF($F$66:$G$85,D104,$L$66:$L$85)+SUMIF($D$11:$E$30,D104,$AE$11:$AE$30))</f>
        <v>0</v>
      </c>
      <c r="G104" s="431">
        <f ca="1">$F$104-$E$104</f>
        <v>0</v>
      </c>
      <c r="H104" s="855"/>
      <c r="I104" s="428"/>
      <c r="R104" s="649"/>
    </row>
    <row r="105" spans="2:18" s="97" customFormat="1" ht="30.75" customHeight="1" x14ac:dyDescent="0.3">
      <c r="B105" s="849"/>
      <c r="C105" s="852"/>
      <c r="D105" s="430" t="s">
        <v>246</v>
      </c>
      <c r="E105" s="431">
        <f ca="1">SUMIF($D$11:$E$30,D105,$L$11:$L$30)</f>
        <v>0</v>
      </c>
      <c r="F105" s="431">
        <f>IF($I$31+$I$59+$I$86=0,0,SUMIF($D$39:$D$58,D105,$L$39:$N$58)+SUMIF($F$66:$G$85,D105,$L$66:$L$85)+SUMIF($D$11:$E$30,D105,$AE$11:$AE$30))</f>
        <v>0</v>
      </c>
      <c r="G105" s="431">
        <f ca="1">$F$105-$E$105</f>
        <v>0</v>
      </c>
      <c r="H105" s="855"/>
      <c r="I105" s="428"/>
      <c r="R105" s="649"/>
    </row>
    <row r="106" spans="2:18" s="97" customFormat="1" ht="30.75" customHeight="1" x14ac:dyDescent="0.3">
      <c r="B106" s="849"/>
      <c r="C106" s="852"/>
      <c r="D106" s="430" t="s">
        <v>247</v>
      </c>
      <c r="E106" s="431">
        <f ca="1">SUMIF($D$11:$E$30,D106,$L$11:$L$30)</f>
        <v>0</v>
      </c>
      <c r="F106" s="431">
        <f>IF($I$31+$I$59+$I$86=0,0,SUMIF($D$39:$D$58,D106,$L$39:$N$58)+SUMIF($F$66:$G$85,D106,$L$66:$L$85)+SUMIF($D$11:$E$30,D106,$AE$11:$AE$30))</f>
        <v>0</v>
      </c>
      <c r="G106" s="431">
        <f ca="1">$F$106-$E$106</f>
        <v>0</v>
      </c>
      <c r="H106" s="855"/>
      <c r="I106" s="428"/>
      <c r="R106" s="649"/>
    </row>
    <row r="107" spans="2:18" s="97" customFormat="1" ht="30.75" customHeight="1" x14ac:dyDescent="0.3">
      <c r="B107" s="849"/>
      <c r="C107" s="852"/>
      <c r="D107" s="430" t="s">
        <v>248</v>
      </c>
      <c r="E107" s="431">
        <f ca="1">SUMIF($D$11:$E$30,D107,$L$11:$L$30)</f>
        <v>0</v>
      </c>
      <c r="F107" s="431">
        <f>IF($I$31+$I$59+$I$86=0,0,SUMIF($D$39:$D$58,D107,$L$39:$N$58)+SUMIF($F$66:$G$85,D107,$L$66:$L$85)+SUMIF($D$11:$E$30,D107,$AE$11:$AE$30))</f>
        <v>0</v>
      </c>
      <c r="G107" s="431">
        <f ca="1">$F$107-$E$107</f>
        <v>0</v>
      </c>
      <c r="H107" s="855"/>
      <c r="I107" s="200"/>
      <c r="R107" s="649"/>
    </row>
    <row r="108" spans="2:18" s="97" customFormat="1" ht="30.75" customHeight="1" x14ac:dyDescent="0.3">
      <c r="B108" s="849"/>
      <c r="C108" s="853"/>
      <c r="D108" s="442" t="s">
        <v>249</v>
      </c>
      <c r="E108" s="443">
        <f ca="1">SUM($E$103:$E$107)</f>
        <v>0</v>
      </c>
      <c r="F108" s="443">
        <f>SUM($F$103:$F$107)</f>
        <v>0</v>
      </c>
      <c r="G108" s="443">
        <f ca="1">SUM($G$103:$G$107)</f>
        <v>0</v>
      </c>
      <c r="H108" s="856"/>
      <c r="I108" s="200">
        <f ca="1">IF($H$103="No ▲",1,0)</f>
        <v>0</v>
      </c>
      <c r="R108" s="649"/>
    </row>
    <row r="109" spans="2:18" s="97" customFormat="1" ht="30.75" customHeight="1" x14ac:dyDescent="0.3">
      <c r="B109" s="849"/>
      <c r="C109" s="851" t="s">
        <v>214</v>
      </c>
      <c r="D109" s="450" t="s">
        <v>250</v>
      </c>
      <c r="E109" s="451">
        <f ca="1">SUMIF($D$11:$E$30,D109,$L$11:$L$30)</f>
        <v>0</v>
      </c>
      <c r="F109" s="451">
        <f>IF($I$31+$I$59+$I$86=0,0,SUMIF($D$39:$D$58,D109,$L$39:$N$58)+SUMIF($F$66:$G$85,D109,$L$66:$L$85)+SUMIF($D$11:$E$30,D109,$AE$11:$AE$30))</f>
        <v>0</v>
      </c>
      <c r="G109" s="451">
        <f ca="1">$F$109-$E$109</f>
        <v>0</v>
      </c>
      <c r="H109" s="854" t="str">
        <f ca="1">IF(G112&gt;=0,"Yes ✓",IF(E114&gt;=0,"Yes ✓","No ▲"))</f>
        <v>Yes ✓</v>
      </c>
      <c r="I109" s="200"/>
      <c r="R109" s="649"/>
    </row>
    <row r="110" spans="2:18" s="97" customFormat="1" ht="30.75" customHeight="1" x14ac:dyDescent="0.3">
      <c r="B110" s="849"/>
      <c r="C110" s="852"/>
      <c r="D110" s="430" t="s">
        <v>251</v>
      </c>
      <c r="E110" s="431">
        <f ca="1">SUMIF($D$11:$E$30,D110,$L$11:$L$30)</f>
        <v>0</v>
      </c>
      <c r="F110" s="431">
        <f>IF($I$31+$I$59+$I$86=0,0,SUMIF($D$39:$D$58,D110,$L$39:$N$58)+SUMIF($F$66:$G$85,D110,$L$66:$L$85)+SUMIF($D$11:$E$30,D110,$AE$11:$AE$30))</f>
        <v>0</v>
      </c>
      <c r="G110" s="431">
        <f ca="1">$F$110-$E$110</f>
        <v>0</v>
      </c>
      <c r="H110" s="855"/>
      <c r="I110" s="200"/>
      <c r="R110" s="649"/>
    </row>
    <row r="111" spans="2:18" s="97" customFormat="1" ht="30.75" customHeight="1" x14ac:dyDescent="0.3">
      <c r="B111" s="849"/>
      <c r="C111" s="852"/>
      <c r="D111" s="430" t="s">
        <v>252</v>
      </c>
      <c r="E111" s="431">
        <f ca="1">SUMIF($D$11:$E$30,D111,$L$11:$L$30)</f>
        <v>0</v>
      </c>
      <c r="F111" s="431">
        <f>IF($I$31+$I$59+$I$86=0,0,SUMIF($D$39:$D$58,D111,$L$39:$N$58)+SUMIF($F$66:$G$85,D111,$L$66:$L$85)+SUMIF($D$11:$E$30,D111,$AE$11:$AE$30))</f>
        <v>0</v>
      </c>
      <c r="G111" s="431">
        <f ca="1">$F$111-$E$111</f>
        <v>0</v>
      </c>
      <c r="H111" s="855"/>
      <c r="I111" s="200"/>
      <c r="R111" s="649"/>
    </row>
    <row r="112" spans="2:18" s="97" customFormat="1" ht="30.75" customHeight="1" x14ac:dyDescent="0.3">
      <c r="B112" s="849"/>
      <c r="C112" s="853"/>
      <c r="D112" s="442" t="s">
        <v>249</v>
      </c>
      <c r="E112" s="443">
        <f ca="1">SUM($E$109:$E$111)</f>
        <v>0</v>
      </c>
      <c r="F112" s="443">
        <f>SUM($F$109:$F$111)</f>
        <v>0</v>
      </c>
      <c r="G112" s="443">
        <f ca="1">SUM($G$109:$G$111)</f>
        <v>0</v>
      </c>
      <c r="H112" s="856"/>
      <c r="I112" s="200">
        <f ca="1">IF($H$109="No ▲",1,0)</f>
        <v>0</v>
      </c>
      <c r="R112" s="649"/>
    </row>
    <row r="113" spans="2:18" s="97" customFormat="1" ht="30.75" customHeight="1" x14ac:dyDescent="0.3">
      <c r="B113" s="850"/>
      <c r="C113" s="444" t="s">
        <v>253</v>
      </c>
      <c r="D113" s="452" t="s">
        <v>254</v>
      </c>
      <c r="E113" s="453">
        <f ca="1">SUMIF($D$11:$E$30,D113,$L$11:$L$30)</f>
        <v>0</v>
      </c>
      <c r="F113" s="453">
        <f>IF($I$31+$I$59+$I$86=0,0,SUMIF($D$39:$D$58,D113,$L$39:$N$58)+SUMIF($F$66:$G$85,D113,$L$66:$L$85)+SUMIF($D$11:$E$30,D113,$AE$11:$AE$30))</f>
        <v>0</v>
      </c>
      <c r="G113" s="453">
        <f ca="1">$F$113-$E$113</f>
        <v>0</v>
      </c>
      <c r="H113" s="447" t="str">
        <f ca="1">IF(G113&gt;=0,"Yes✓",IF(F114&gt;=0,"Yes ✓","No ▲"))</f>
        <v>Yes✓</v>
      </c>
      <c r="I113" s="200">
        <f ca="1">IF($H$113="No ▲",1,0)</f>
        <v>0</v>
      </c>
      <c r="R113" s="649"/>
    </row>
    <row r="114" spans="2:18" s="97" customFormat="1" ht="15" customHeight="1" x14ac:dyDescent="0.3">
      <c r="E114" s="455">
        <f ca="1">G108+G112</f>
        <v>0</v>
      </c>
      <c r="F114" s="432">
        <f ca="1">IF(G108&lt;0,0,($G$108+$G$112+$G$113))</f>
        <v>0</v>
      </c>
      <c r="I114" s="428"/>
      <c r="R114" s="649"/>
    </row>
    <row r="115" spans="2:18" s="97" customFormat="1" ht="24.75" customHeight="1" x14ac:dyDescent="0.3">
      <c r="B115" s="857" t="s">
        <v>255</v>
      </c>
      <c r="C115" s="628"/>
      <c r="D115" s="628"/>
      <c r="E115" s="628"/>
      <c r="F115" s="435">
        <f ca="1">$G$108</f>
        <v>0</v>
      </c>
      <c r="G115" s="432">
        <f ca="1">IF($G$108&lt;=0,0,($G$108+$G$112))</f>
        <v>0</v>
      </c>
      <c r="I115" s="428"/>
      <c r="R115" s="649"/>
    </row>
    <row r="116" spans="2:18" s="97" customFormat="1" ht="21.75" customHeight="1" x14ac:dyDescent="0.3">
      <c r="B116" s="858" t="s">
        <v>256</v>
      </c>
      <c r="C116" s="859"/>
      <c r="D116" s="859"/>
      <c r="E116" s="859"/>
      <c r="F116" s="437">
        <f ca="1">IF($G$108&gt;0,($G$112+$G$108),$G$112)</f>
        <v>0</v>
      </c>
      <c r="G116" s="432">
        <f ca="1">IF($G$108&lt;=0,0,($G$108+$G$112+$G$113))</f>
        <v>0</v>
      </c>
      <c r="R116" s="649"/>
    </row>
    <row r="117" spans="2:18" s="97" customFormat="1" ht="24" customHeight="1" x14ac:dyDescent="0.3">
      <c r="B117" s="860" t="s">
        <v>257</v>
      </c>
      <c r="C117" s="630"/>
      <c r="D117" s="630"/>
      <c r="E117" s="630"/>
      <c r="F117" s="436">
        <f ca="1">IF($F$116&gt;0,($F$116+$G$113),$G$113)</f>
        <v>0</v>
      </c>
      <c r="G117" s="432"/>
      <c r="R117" s="649"/>
    </row>
    <row r="118" spans="2:18" s="97" customFormat="1" x14ac:dyDescent="0.3">
      <c r="G118" s="432"/>
      <c r="R118" s="649"/>
    </row>
    <row r="119" spans="2:18" s="97" customFormat="1" x14ac:dyDescent="0.3">
      <c r="R119" s="649"/>
    </row>
    <row r="120" spans="2:18" s="97" customFormat="1" x14ac:dyDescent="0.3">
      <c r="R120" s="649"/>
    </row>
    <row r="121" spans="2:18" s="97" customFormat="1" x14ac:dyDescent="0.3">
      <c r="R121" s="649"/>
    </row>
    <row r="122" spans="2:18" s="97" customFormat="1" x14ac:dyDescent="0.3">
      <c r="R122" s="649"/>
    </row>
    <row r="123" spans="2:18" s="97" customFormat="1" x14ac:dyDescent="0.3">
      <c r="R123" s="649"/>
    </row>
    <row r="124" spans="2:18" s="97" customFormat="1" x14ac:dyDescent="0.3">
      <c r="R124" s="649"/>
    </row>
    <row r="125" spans="2:18" s="97" customFormat="1" x14ac:dyDescent="0.3">
      <c r="R125" s="649"/>
    </row>
    <row r="126" spans="2:18" s="97" customFormat="1" x14ac:dyDescent="0.3">
      <c r="R126" s="649"/>
    </row>
    <row r="127" spans="2:18" s="97" customFormat="1" x14ac:dyDescent="0.3">
      <c r="R127" s="649"/>
    </row>
  </sheetData>
  <sheetProtection algorithmName="SHA-512" hashValue="rb1sFu78sV1Iy5iQ5N0pwfYiq6ZFpT8TXLzbemx4XNWWscJnOA5YYQ7KGSVscBVi75Sm7siAAsdUZ5FzrrO4VA==" saltValue="BiVdvE71Hi3w7CrQkTPBLw==" spinCount="100000" sheet="1" formatRows="0"/>
  <mergeCells count="273">
    <mergeCell ref="B9:B10"/>
    <mergeCell ref="C9:E9"/>
    <mergeCell ref="F9:H10"/>
    <mergeCell ref="I9:K9"/>
    <mergeCell ref="L9:N9"/>
    <mergeCell ref="O9:P9"/>
    <mergeCell ref="D11:E11"/>
    <mergeCell ref="F11:H11"/>
    <mergeCell ref="D15:E15"/>
    <mergeCell ref="F15:H15"/>
    <mergeCell ref="D13:E13"/>
    <mergeCell ref="F13:H13"/>
    <mergeCell ref="T9:V9"/>
    <mergeCell ref="W9:X9"/>
    <mergeCell ref="Y9:AA9"/>
    <mergeCell ref="AB9:AD9"/>
    <mergeCell ref="AE9:AG9"/>
    <mergeCell ref="AH9:AH10"/>
    <mergeCell ref="AI9:AI10"/>
    <mergeCell ref="D10:E10"/>
    <mergeCell ref="T10:U10"/>
    <mergeCell ref="R1:R31"/>
    <mergeCell ref="C2:D2"/>
    <mergeCell ref="F2:H6"/>
    <mergeCell ref="J2:M5"/>
    <mergeCell ref="C3:D3"/>
    <mergeCell ref="D19:E19"/>
    <mergeCell ref="F19:H19"/>
    <mergeCell ref="D23:E23"/>
    <mergeCell ref="F23:H23"/>
    <mergeCell ref="D27:E27"/>
    <mergeCell ref="F27:H27"/>
    <mergeCell ref="T11:U11"/>
    <mergeCell ref="D12:E12"/>
    <mergeCell ref="F12:H12"/>
    <mergeCell ref="T12:U12"/>
    <mergeCell ref="T13:U13"/>
    <mergeCell ref="D14:E14"/>
    <mergeCell ref="F14:H14"/>
    <mergeCell ref="T14:U14"/>
    <mergeCell ref="T15:U15"/>
    <mergeCell ref="D16:E16"/>
    <mergeCell ref="F16:H16"/>
    <mergeCell ref="T16:U16"/>
    <mergeCell ref="D17:E17"/>
    <mergeCell ref="F17:H17"/>
    <mergeCell ref="T17:U17"/>
    <mergeCell ref="D18:E18"/>
    <mergeCell ref="F18:H18"/>
    <mergeCell ref="T18:U18"/>
    <mergeCell ref="T19:U19"/>
    <mergeCell ref="D20:E20"/>
    <mergeCell ref="F20:H20"/>
    <mergeCell ref="T20:U20"/>
    <mergeCell ref="D21:E21"/>
    <mergeCell ref="F21:H21"/>
    <mergeCell ref="T21:U21"/>
    <mergeCell ref="D22:E22"/>
    <mergeCell ref="F22:H22"/>
    <mergeCell ref="T22:U22"/>
    <mergeCell ref="T23:U23"/>
    <mergeCell ref="D24:E24"/>
    <mergeCell ref="F24:H24"/>
    <mergeCell ref="T24:U24"/>
    <mergeCell ref="D25:E25"/>
    <mergeCell ref="F25:H25"/>
    <mergeCell ref="T25:U25"/>
    <mergeCell ref="D26:E26"/>
    <mergeCell ref="F26:H26"/>
    <mergeCell ref="T26:U26"/>
    <mergeCell ref="T27:U27"/>
    <mergeCell ref="D28:E28"/>
    <mergeCell ref="F28:H28"/>
    <mergeCell ref="T28:U28"/>
    <mergeCell ref="D29:E29"/>
    <mergeCell ref="F29:H29"/>
    <mergeCell ref="T29:U29"/>
    <mergeCell ref="D30:E30"/>
    <mergeCell ref="F30:H30"/>
    <mergeCell ref="T30:U30"/>
    <mergeCell ref="I32:N32"/>
    <mergeCell ref="I33:N33"/>
    <mergeCell ref="R34:R62"/>
    <mergeCell ref="B37:B38"/>
    <mergeCell ref="C37:D37"/>
    <mergeCell ref="E37:G37"/>
    <mergeCell ref="H37:H38"/>
    <mergeCell ref="I37:K38"/>
    <mergeCell ref="L37:N38"/>
    <mergeCell ref="O37:P37"/>
    <mergeCell ref="F40:G40"/>
    <mergeCell ref="I40:K40"/>
    <mergeCell ref="L40:N40"/>
    <mergeCell ref="F43:G43"/>
    <mergeCell ref="I43:K43"/>
    <mergeCell ref="L43:N43"/>
    <mergeCell ref="F46:G46"/>
    <mergeCell ref="I46:K46"/>
    <mergeCell ref="L46:N46"/>
    <mergeCell ref="F49:G49"/>
    <mergeCell ref="I49:K49"/>
    <mergeCell ref="T40:U40"/>
    <mergeCell ref="F41:G41"/>
    <mergeCell ref="I41:K41"/>
    <mergeCell ref="L41:N41"/>
    <mergeCell ref="T41:U41"/>
    <mergeCell ref="F42:G42"/>
    <mergeCell ref="I42:K42"/>
    <mergeCell ref="L42:N42"/>
    <mergeCell ref="T42:U42"/>
    <mergeCell ref="T37:V37"/>
    <mergeCell ref="W37:X37"/>
    <mergeCell ref="Y37:AA37"/>
    <mergeCell ref="AB37:AD37"/>
    <mergeCell ref="AE37:AF37"/>
    <mergeCell ref="AG37:AH37"/>
    <mergeCell ref="F38:G38"/>
    <mergeCell ref="T38:U38"/>
    <mergeCell ref="F39:G39"/>
    <mergeCell ref="I39:K39"/>
    <mergeCell ref="L39:N39"/>
    <mergeCell ref="T39:U39"/>
    <mergeCell ref="T43:U43"/>
    <mergeCell ref="F44:G44"/>
    <mergeCell ref="I44:K44"/>
    <mergeCell ref="L44:N44"/>
    <mergeCell ref="T44:U44"/>
    <mergeCell ref="F45:G45"/>
    <mergeCell ref="I45:K45"/>
    <mergeCell ref="L45:N45"/>
    <mergeCell ref="T45:U45"/>
    <mergeCell ref="T46:U46"/>
    <mergeCell ref="F47:G47"/>
    <mergeCell ref="I47:K47"/>
    <mergeCell ref="L47:N47"/>
    <mergeCell ref="T47:U47"/>
    <mergeCell ref="F48:G48"/>
    <mergeCell ref="I48:K48"/>
    <mergeCell ref="L48:N48"/>
    <mergeCell ref="T48:U48"/>
    <mergeCell ref="T49:U49"/>
    <mergeCell ref="F50:G50"/>
    <mergeCell ref="I50:K50"/>
    <mergeCell ref="L50:N50"/>
    <mergeCell ref="T50:U50"/>
    <mergeCell ref="F51:G51"/>
    <mergeCell ref="I51:K51"/>
    <mergeCell ref="L51:N51"/>
    <mergeCell ref="T51:U51"/>
    <mergeCell ref="L49:N49"/>
    <mergeCell ref="L52:N52"/>
    <mergeCell ref="T52:U52"/>
    <mergeCell ref="F53:G53"/>
    <mergeCell ref="I53:K53"/>
    <mergeCell ref="L53:N53"/>
    <mergeCell ref="T53:U53"/>
    <mergeCell ref="F54:G54"/>
    <mergeCell ref="I54:K54"/>
    <mergeCell ref="L54:N54"/>
    <mergeCell ref="T54:U54"/>
    <mergeCell ref="F52:G52"/>
    <mergeCell ref="I52:K52"/>
    <mergeCell ref="F55:G55"/>
    <mergeCell ref="I55:K55"/>
    <mergeCell ref="L55:N55"/>
    <mergeCell ref="T55:U55"/>
    <mergeCell ref="F56:G56"/>
    <mergeCell ref="I56:K56"/>
    <mergeCell ref="L56:N56"/>
    <mergeCell ref="T56:U56"/>
    <mergeCell ref="F57:G57"/>
    <mergeCell ref="I57:K57"/>
    <mergeCell ref="L57:N57"/>
    <mergeCell ref="T57:U57"/>
    <mergeCell ref="F58:G58"/>
    <mergeCell ref="I58:K58"/>
    <mergeCell ref="L58:N58"/>
    <mergeCell ref="T58:U58"/>
    <mergeCell ref="I59:K59"/>
    <mergeCell ref="L59:N59"/>
    <mergeCell ref="I60:N60"/>
    <mergeCell ref="A63:A65"/>
    <mergeCell ref="R63:R88"/>
    <mergeCell ref="B64:B65"/>
    <mergeCell ref="C64:D64"/>
    <mergeCell ref="E64:G64"/>
    <mergeCell ref="H64:H65"/>
    <mergeCell ref="I64:I65"/>
    <mergeCell ref="J64:K65"/>
    <mergeCell ref="L64:L65"/>
    <mergeCell ref="M64:N65"/>
    <mergeCell ref="O64:P64"/>
    <mergeCell ref="T64:AD64"/>
    <mergeCell ref="F68:G68"/>
    <mergeCell ref="J68:K68"/>
    <mergeCell ref="M68:N68"/>
    <mergeCell ref="F69:G69"/>
    <mergeCell ref="J69:K69"/>
    <mergeCell ref="AE64:AE65"/>
    <mergeCell ref="AF64:AP64"/>
    <mergeCell ref="AQ64:AQ65"/>
    <mergeCell ref="AR64:AX64"/>
    <mergeCell ref="F65:G65"/>
    <mergeCell ref="F66:G66"/>
    <mergeCell ref="J66:K66"/>
    <mergeCell ref="M66:N66"/>
    <mergeCell ref="F67:G67"/>
    <mergeCell ref="J67:K67"/>
    <mergeCell ref="M67:N67"/>
    <mergeCell ref="M69:N69"/>
    <mergeCell ref="F70:G70"/>
    <mergeCell ref="J70:K70"/>
    <mergeCell ref="M70:N70"/>
    <mergeCell ref="F71:G71"/>
    <mergeCell ref="J71:K71"/>
    <mergeCell ref="M71:N71"/>
    <mergeCell ref="F72:G72"/>
    <mergeCell ref="J72:K72"/>
    <mergeCell ref="M72:N72"/>
    <mergeCell ref="F73:G73"/>
    <mergeCell ref="J73:K73"/>
    <mergeCell ref="M73:N73"/>
    <mergeCell ref="F74:G74"/>
    <mergeCell ref="J74:K74"/>
    <mergeCell ref="M74:N74"/>
    <mergeCell ref="F75:G75"/>
    <mergeCell ref="J75:K75"/>
    <mergeCell ref="M75:N75"/>
    <mergeCell ref="F76:G76"/>
    <mergeCell ref="J76:K76"/>
    <mergeCell ref="M76:N76"/>
    <mergeCell ref="F77:G77"/>
    <mergeCell ref="J77:K77"/>
    <mergeCell ref="M77:N77"/>
    <mergeCell ref="F78:G78"/>
    <mergeCell ref="J78:K78"/>
    <mergeCell ref="M78:N78"/>
    <mergeCell ref="F79:G79"/>
    <mergeCell ref="J79:K79"/>
    <mergeCell ref="M79:N79"/>
    <mergeCell ref="F80:G80"/>
    <mergeCell ref="J80:K80"/>
    <mergeCell ref="M80:N80"/>
    <mergeCell ref="F81:G81"/>
    <mergeCell ref="J81:K81"/>
    <mergeCell ref="M81:N81"/>
    <mergeCell ref="F82:G82"/>
    <mergeCell ref="J82:K82"/>
    <mergeCell ref="M82:N82"/>
    <mergeCell ref="F83:G83"/>
    <mergeCell ref="J83:K83"/>
    <mergeCell ref="M83:N83"/>
    <mergeCell ref="F84:G84"/>
    <mergeCell ref="J84:K84"/>
    <mergeCell ref="M84:N84"/>
    <mergeCell ref="F85:G85"/>
    <mergeCell ref="J85:K85"/>
    <mergeCell ref="M85:N85"/>
    <mergeCell ref="M86:N86"/>
    <mergeCell ref="R89:R97"/>
    <mergeCell ref="A91:Q93"/>
    <mergeCell ref="B97:D97"/>
    <mergeCell ref="E97:I97"/>
    <mergeCell ref="R98:R100"/>
    <mergeCell ref="R101:R127"/>
    <mergeCell ref="B103:B113"/>
    <mergeCell ref="C103:C108"/>
    <mergeCell ref="H103:H108"/>
    <mergeCell ref="C109:C112"/>
    <mergeCell ref="H109:H112"/>
    <mergeCell ref="B115:E115"/>
    <mergeCell ref="B116:E116"/>
    <mergeCell ref="B117:E117"/>
  </mergeCells>
  <conditionalFormatting sqref="E66:E85">
    <cfRule type="cellIs" dxfId="120" priority="28" operator="equal">
      <formula>"Enhancement not possible"</formula>
    </cfRule>
  </conditionalFormatting>
  <conditionalFormatting sqref="E97">
    <cfRule type="containsText" dxfId="119" priority="42" operator="containsText" text="Error - Trading Rules Not Satisfied">
      <formula>NOT(ISERROR(SEARCH("Error - Trading Rules Not Satisfied",E97)))</formula>
    </cfRule>
    <cfRule type="containsText" dxfId="118" priority="41" operator="containsText" text="Trading Rules Satisfied">
      <formula>NOT(ISERROR(SEARCH("Trading Rules Satisfied",E97)))</formula>
    </cfRule>
  </conditionalFormatting>
  <conditionalFormatting sqref="F39:F58">
    <cfRule type="expression" dxfId="117" priority="30">
      <formula>ISNUMBER(SEARCH(F39,E39,1))</formula>
    </cfRule>
    <cfRule type="containsBlanks" dxfId="116" priority="29" stopIfTrue="1">
      <formula>LEN(TRIM(F39))=0</formula>
    </cfRule>
  </conditionalFormatting>
  <conditionalFormatting sqref="F66:G85">
    <cfRule type="expression" dxfId="115" priority="27">
      <formula>$D66=""</formula>
    </cfRule>
    <cfRule type="containsText" dxfId="114" priority="4" operator="containsText" text="not possible">
      <formula>NOT(ISERROR(SEARCH("not possible",F66)))</formula>
    </cfRule>
  </conditionalFormatting>
  <conditionalFormatting sqref="H103 H109 H113">
    <cfRule type="containsText" dxfId="113" priority="1" operator="containsText" text="No">
      <formula>NOT(ISERROR(SEARCH("No",H103)))</formula>
    </cfRule>
    <cfRule type="containsText" dxfId="112" priority="2" operator="containsText" text="Yes">
      <formula>NOT(ISERROR(SEARCH("Yes",H103)))</formula>
    </cfRule>
  </conditionalFormatting>
  <conditionalFormatting sqref="I31">
    <cfRule type="cellIs" dxfId="111" priority="43" operator="greaterThan">
      <formula>5000</formula>
    </cfRule>
  </conditionalFormatting>
  <conditionalFormatting sqref="I86">
    <cfRule type="expression" dxfId="110" priority="38">
      <formula>"p18=""Avoid"""</formula>
    </cfRule>
    <cfRule type="cellIs" dxfId="109" priority="37" operator="equal">
      <formula>"Any loss Unacceptable"</formula>
    </cfRule>
  </conditionalFormatting>
  <conditionalFormatting sqref="I59:K59">
    <cfRule type="cellIs" dxfId="108" priority="6" operator="greaterThan">
      <formula>5000</formula>
    </cfRule>
  </conditionalFormatting>
  <conditionalFormatting sqref="I32:N32">
    <cfRule type="containsText" dxfId="107" priority="33" operator="containsText" text="acceptable">
      <formula>NOT(ISERROR(SEARCH("acceptable",I32)))</formula>
    </cfRule>
    <cfRule type="containsText" dxfId="106" priority="32" operator="containsText" text="error">
      <formula>NOT(ISERROR(SEARCH("error",I32)))</formula>
    </cfRule>
  </conditionalFormatting>
  <conditionalFormatting sqref="I33:N33">
    <cfRule type="containsText" dxfId="105" priority="8" operator="containsText" text="▲">
      <formula>NOT(ISERROR(SEARCH("▲",I33)))</formula>
    </cfRule>
    <cfRule type="containsText" dxfId="104" priority="9" operator="containsText" text="✓">
      <formula>NOT(ISERROR(SEARCH("✓",I33)))</formula>
    </cfRule>
  </conditionalFormatting>
  <conditionalFormatting sqref="I60:N60">
    <cfRule type="containsText" dxfId="103" priority="7" operator="containsText" text="✓">
      <formula>NOT(ISERROR(SEARCH("✓",I60)))</formula>
    </cfRule>
  </conditionalFormatting>
  <conditionalFormatting sqref="J2 O6:P6">
    <cfRule type="containsText" dxfId="102" priority="40" operator="containsText" text="Errors Present On Sheet">
      <formula>NOT(ISERROR(SEARCH("Errors Present On Sheet",J2)))</formula>
    </cfRule>
  </conditionalFormatting>
  <conditionalFormatting sqref="J2">
    <cfRule type="containsText" dxfId="101" priority="31" operator="containsText" text="Technical">
      <formula>NOT(ISERROR(SEARCH("Technical",J2)))</formula>
    </cfRule>
  </conditionalFormatting>
  <conditionalFormatting sqref="K11:K30">
    <cfRule type="expression" dxfId="100" priority="34">
      <formula>$AI11="Enhancement not possible"</formula>
    </cfRule>
  </conditionalFormatting>
  <conditionalFormatting sqref="L11:L30 N11:N30">
    <cfRule type="containsText" dxfId="99" priority="18" operator="containsText" text="▲">
      <formula>NOT(ISERROR(SEARCH("▲",L11)))</formula>
    </cfRule>
  </conditionalFormatting>
  <conditionalFormatting sqref="L11:L30">
    <cfRule type="containsText" dxfId="98" priority="19" operator="containsText" text="value">
      <formula>NOT(ISERROR(SEARCH("value",L11)))</formula>
    </cfRule>
  </conditionalFormatting>
  <conditionalFormatting sqref="L11:M30">
    <cfRule type="cellIs" dxfId="97" priority="24" operator="equal">
      <formula>"Any loss Unacceptable"</formula>
    </cfRule>
    <cfRule type="expression" dxfId="96" priority="25">
      <formula>"p18=""Avoid"""</formula>
    </cfRule>
  </conditionalFormatting>
  <conditionalFormatting sqref="L39:M58">
    <cfRule type="cellIs" dxfId="95" priority="17" operator="equal">
      <formula>"Compensation Agreed"</formula>
    </cfRule>
    <cfRule type="cellIs" dxfId="94" priority="16" operator="equal">
      <formula>"Unacceptable Loss"</formula>
    </cfRule>
    <cfRule type="cellIs" dxfId="93" priority="15" operator="equal">
      <formula>"Alternative Compensation"</formula>
    </cfRule>
  </conditionalFormatting>
  <conditionalFormatting sqref="L66:M85">
    <cfRule type="cellIs" dxfId="92" priority="12" operator="equal">
      <formula>"Compensation Agreed"</formula>
    </cfRule>
    <cfRule type="cellIs" dxfId="91" priority="11" operator="equal">
      <formula>"Unacceptable Loss"</formula>
    </cfRule>
    <cfRule type="cellIs" dxfId="90" priority="10" operator="equal">
      <formula>"Alternative Compensation"</formula>
    </cfRule>
  </conditionalFormatting>
  <conditionalFormatting sqref="L86:M86">
    <cfRule type="expression" dxfId="89" priority="36">
      <formula>"p18=""Avoid"""</formula>
    </cfRule>
    <cfRule type="cellIs" dxfId="88" priority="35" operator="equal">
      <formula>"Any loss Unacceptable"</formula>
    </cfRule>
  </conditionalFormatting>
  <conditionalFormatting sqref="L39:N58">
    <cfRule type="containsText" dxfId="87" priority="14" operator="containsText" text="value">
      <formula>NOT(ISERROR(SEARCH("value",L39)))</formula>
    </cfRule>
    <cfRule type="containsText" dxfId="86" priority="13" operator="containsText" text="▲">
      <formula>NOT(ISERROR(SEARCH("▲",L39)))</formula>
    </cfRule>
  </conditionalFormatting>
  <conditionalFormatting sqref="M11:N30">
    <cfRule type="containsText" dxfId="85" priority="20" operator="containsText" text="error">
      <formula>NOT(ISERROR(SEARCH("error",M11)))</formula>
    </cfRule>
  </conditionalFormatting>
  <conditionalFormatting sqref="M66:N85">
    <cfRule type="containsText" dxfId="84" priority="5" operator="containsText" text="Error">
      <formula>NOT(ISERROR(SEARCH("Error",M66)))</formula>
    </cfRule>
  </conditionalFormatting>
  <conditionalFormatting sqref="N11:N30">
    <cfRule type="cellIs" dxfId="83" priority="22" operator="equal">
      <formula>"Unacceptable Loss"</formula>
    </cfRule>
    <cfRule type="cellIs" dxfId="82" priority="23" operator="equal">
      <formula>"Compensation Agreed"</formula>
    </cfRule>
    <cfRule type="cellIs" dxfId="81" priority="21" operator="equal">
      <formula>"Alternative Compensation"</formula>
    </cfRule>
  </conditionalFormatting>
  <conditionalFormatting sqref="P1:P5 I60:N60 J66:L85">
    <cfRule type="containsText" dxfId="80" priority="3" operator="containsText" text="▲">
      <formula>NOT(ISERROR(SEARCH("▲",P1)))</formula>
    </cfRule>
  </conditionalFormatting>
  <conditionalFormatting sqref="X11:X30">
    <cfRule type="cellIs" dxfId="79" priority="45" operator="equal">
      <formula>"Not Possible"</formula>
    </cfRule>
  </conditionalFormatting>
  <conditionalFormatting sqref="X39:X58">
    <cfRule type="cellIs" dxfId="78" priority="39" operator="equal">
      <formula>"Not Possible"</formula>
    </cfRule>
  </conditionalFormatting>
  <conditionalFormatting sqref="AG11:AG30">
    <cfRule type="cellIs" dxfId="77" priority="44" operator="equal">
      <formula>"Unacceptable Loss"</formula>
    </cfRule>
  </conditionalFormatting>
  <conditionalFormatting sqref="AJ66:AJ85">
    <cfRule type="cellIs" dxfId="76" priority="26" operator="equal">
      <formula>"Not Possible"</formula>
    </cfRule>
  </conditionalFormatting>
  <dataValidations count="2">
    <dataValidation type="list" allowBlank="1" showInputMessage="1" showErrorMessage="1" sqref="D11:E30 D39:D58" xr:uid="{00000000-0002-0000-0500-000000000000}">
      <formula1>INDIRECT(SUBSTITUTE(C11," ",""))</formula1>
    </dataValidation>
    <dataValidation type="list" allowBlank="1" showInputMessage="1" showErrorMessage="1" sqref="F66:G85" xr:uid="{00000000-0002-0000-0500-000001000000}">
      <formula1>INDIRECT(BV66)</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A2C0E9C2-CEE1-4CB8-AE5E-A0B49E7D9DD3}">
          <x14:formula1>
            <xm:f>'11. Lists'!$F$36:$F$37</xm:f>
          </x14:formula1>
          <xm:sqref>H39:H58 H66:H85 F11:H30</xm:sqref>
        </x14:dataValidation>
        <x14:dataValidation type="list" allowBlank="1" showInputMessage="1" showErrorMessage="1" xr:uid="{3675A298-2DFD-47BB-8AD3-F19466E7358F}">
          <x14:formula1>
            <xm:f>'11. Lists'!$F$47:$F$51</xm:f>
          </x14:formula1>
          <xm:sqref>F39:F58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6D46-9318-4FB5-8390-2A31F88ADFD5}">
  <sheetPr codeName="Sheet4">
    <tabColor rgb="FF0033CC"/>
    <pageSetUpPr fitToPage="1"/>
  </sheetPr>
  <dimension ref="A1:CC130"/>
  <sheetViews>
    <sheetView tabSelected="1" zoomScale="80" zoomScaleNormal="80" workbookViewId="0"/>
  </sheetViews>
  <sheetFormatPr defaultColWidth="0" defaultRowHeight="14.4" zeroHeight="1" x14ac:dyDescent="0.3"/>
  <cols>
    <col min="1" max="1" width="4.44140625" customWidth="1"/>
    <col min="2" max="2" width="14.77734375" customWidth="1"/>
    <col min="3" max="3" width="24.44140625" customWidth="1"/>
    <col min="4" max="4" width="40.109375" customWidth="1"/>
    <col min="5" max="5" width="27" customWidth="1"/>
    <col min="6" max="6" width="20.44140625" customWidth="1"/>
    <col min="7" max="7" width="33.109375" customWidth="1"/>
    <col min="8" max="8" width="35.109375" customWidth="1"/>
    <col min="9" max="9" width="14.44140625" customWidth="1"/>
    <col min="10" max="10" width="12.6640625" customWidth="1"/>
    <col min="11" max="11" width="11.44140625" customWidth="1"/>
    <col min="12" max="12" width="13" customWidth="1"/>
    <col min="13" max="14" width="11.44140625" customWidth="1"/>
    <col min="15" max="16" width="27" customWidth="1"/>
    <col min="17" max="18" width="11.44140625" customWidth="1"/>
    <col min="19" max="19" width="7.109375" customWidth="1"/>
    <col min="20" max="20" width="14.44140625" customWidth="1"/>
    <col min="21" max="21" width="14.77734375" customWidth="1"/>
    <col min="22" max="22" width="20.6640625" bestFit="1" customWidth="1"/>
    <col min="23" max="23" width="23.6640625" customWidth="1"/>
    <col min="24" max="24" width="16.77734375" bestFit="1" customWidth="1"/>
    <col min="25" max="25" width="14" hidden="1" customWidth="1"/>
    <col min="26" max="26" width="21.33203125" hidden="1" customWidth="1"/>
    <col min="27" max="27" width="14" hidden="1" customWidth="1"/>
    <col min="28" max="28" width="33.6640625" customWidth="1"/>
    <col min="29" max="30" width="32.6640625" customWidth="1"/>
    <col min="31" max="31" width="18.6640625" customWidth="1"/>
    <col min="32" max="32" width="23.6640625" customWidth="1"/>
    <col min="33" max="33" width="16.6640625" customWidth="1"/>
    <col min="34" max="34" width="35.6640625" customWidth="1"/>
    <col min="35" max="35" width="76.33203125" customWidth="1"/>
    <col min="36" max="36" width="23.44140625" style="464" customWidth="1"/>
    <col min="37" max="37" width="4.44140625" style="464" hidden="1" customWidth="1"/>
    <col min="38" max="38" width="5.33203125" style="464" hidden="1" customWidth="1"/>
    <col min="39" max="39" width="6.6640625" style="464" hidden="1" customWidth="1"/>
    <col min="40" max="40" width="12.33203125" style="464" customWidth="1"/>
    <col min="41" max="41" width="34.109375" bestFit="1" customWidth="1"/>
    <col min="42" max="42" width="19.6640625" bestFit="1" customWidth="1"/>
    <col min="43" max="43" width="16.33203125" bestFit="1" customWidth="1"/>
    <col min="44" max="47" width="27.33203125" customWidth="1"/>
    <col min="48" max="48" width="21.109375" bestFit="1" customWidth="1"/>
    <col min="49" max="49" width="37.44140625" customWidth="1"/>
    <col min="50" max="50" width="68.33203125" customWidth="1"/>
    <col min="51" max="51" width="26.44140625" customWidth="1"/>
    <col min="52" max="52" width="24.44140625" customWidth="1"/>
    <col min="53" max="81" width="8.77734375" customWidth="1"/>
    <col min="82" max="82" width="8.77734375" hidden="1" customWidth="1"/>
    <col min="83" max="16384" width="8.77734375" hidden="1"/>
  </cols>
  <sheetData>
    <row r="1" spans="1:44" s="97" customFormat="1" ht="15.75" customHeight="1" x14ac:dyDescent="0.3">
      <c r="I1" s="114"/>
      <c r="J1" s="114"/>
      <c r="K1" s="114"/>
      <c r="L1" s="114"/>
      <c r="M1" s="114"/>
      <c r="N1" s="114"/>
      <c r="O1" s="69" t="s">
        <v>65</v>
      </c>
      <c r="P1" s="299">
        <f>IFERROR(SUM(AE11:AE30), "Error ▲")</f>
        <v>0</v>
      </c>
      <c r="R1" s="649" t="s">
        <v>66</v>
      </c>
      <c r="T1" s="98"/>
      <c r="AJ1" s="200"/>
      <c r="AK1" s="200"/>
      <c r="AL1" s="200"/>
      <c r="AM1" s="200"/>
      <c r="AN1" s="200"/>
    </row>
    <row r="2" spans="1:44" s="97" customFormat="1" ht="19.95" customHeight="1" x14ac:dyDescent="0.35">
      <c r="B2" s="139" t="s">
        <v>67</v>
      </c>
      <c r="C2" s="827" t="str">
        <f>IF('2. Site Details'!D4="","Enter site name on 2. Site Details",'2. Site Details'!D4)</f>
        <v>4788</v>
      </c>
      <c r="D2" s="828"/>
      <c r="F2" s="829" t="s">
        <v>258</v>
      </c>
      <c r="G2" s="830"/>
      <c r="H2" s="831"/>
      <c r="I2" s="140"/>
      <c r="J2" s="838" t="str" cm="1">
        <f t="array" aca="1" ref="J2" ca="1">IFERROR(IF(OR((ISNUMBER(SEARCH("▲",A7:Q101)))),"Input Errors Present On Sheet - Red Cells Or ▲ Highlight Errors","All Key Rules Satisfied ✓ "),"Technical Errors On Sheet ▲")</f>
        <v xml:space="preserve">All Key Rules Satisfied ✓ </v>
      </c>
      <c r="K2" s="838"/>
      <c r="L2" s="838"/>
      <c r="M2" s="838"/>
      <c r="N2" s="140"/>
      <c r="O2" s="142" t="s">
        <v>69</v>
      </c>
      <c r="P2" s="299">
        <f>IFERROR(N31, "Error ▲")</f>
        <v>0</v>
      </c>
      <c r="R2" s="649"/>
      <c r="T2" s="98"/>
      <c r="AJ2" s="200"/>
      <c r="AK2" s="200"/>
      <c r="AL2" s="200"/>
      <c r="AM2" s="200"/>
      <c r="AN2" s="200"/>
    </row>
    <row r="3" spans="1:44" s="97" customFormat="1" ht="19.95" customHeight="1" x14ac:dyDescent="0.35">
      <c r="B3" s="141" t="s">
        <v>16</v>
      </c>
      <c r="C3" s="839" t="s">
        <v>259</v>
      </c>
      <c r="D3" s="840"/>
      <c r="F3" s="832"/>
      <c r="G3" s="833"/>
      <c r="H3" s="834"/>
      <c r="I3" s="140"/>
      <c r="J3" s="838"/>
      <c r="K3" s="838"/>
      <c r="L3" s="838"/>
      <c r="M3" s="838"/>
      <c r="N3" s="140"/>
      <c r="O3" s="142" t="s">
        <v>71</v>
      </c>
      <c r="P3" s="299">
        <f>IFERROR(L59, "Error ▲")</f>
        <v>0</v>
      </c>
      <c r="R3" s="649"/>
      <c r="T3" s="98"/>
      <c r="AJ3" s="200"/>
      <c r="AK3" s="200"/>
      <c r="AL3" s="200"/>
      <c r="AM3" s="200"/>
      <c r="AN3" s="200"/>
    </row>
    <row r="4" spans="1:44" s="97" customFormat="1" ht="19.95" customHeight="1" x14ac:dyDescent="0.3">
      <c r="B4" s="143"/>
      <c r="C4" s="143"/>
      <c r="D4" s="143"/>
      <c r="F4" s="832"/>
      <c r="G4" s="833"/>
      <c r="H4" s="834"/>
      <c r="I4" s="140"/>
      <c r="J4" s="838"/>
      <c r="K4" s="838"/>
      <c r="L4" s="838"/>
      <c r="M4" s="838"/>
      <c r="N4" s="140"/>
      <c r="O4" s="142" t="s">
        <v>72</v>
      </c>
      <c r="P4" s="299">
        <f>IFERROR(L86, "Error ▲")</f>
        <v>0</v>
      </c>
      <c r="R4" s="649"/>
      <c r="T4" s="98"/>
      <c r="AJ4" s="200"/>
      <c r="AK4" s="200"/>
      <c r="AL4" s="200"/>
      <c r="AM4" s="200"/>
      <c r="AN4" s="200"/>
    </row>
    <row r="5" spans="1:44" s="97" customFormat="1" ht="19.95" customHeight="1" x14ac:dyDescent="0.3">
      <c r="A5" s="12"/>
      <c r="F5" s="832"/>
      <c r="G5" s="833"/>
      <c r="H5" s="834"/>
      <c r="I5" s="140"/>
      <c r="J5" s="838"/>
      <c r="K5" s="838"/>
      <c r="L5" s="838"/>
      <c r="M5" s="838"/>
      <c r="N5" s="140"/>
      <c r="O5" s="144" t="s">
        <v>73</v>
      </c>
      <c r="P5" s="300">
        <f>IFERROR(P1+L59+L86-L31, "Error ▲")</f>
        <v>0</v>
      </c>
      <c r="R5" s="649"/>
      <c r="T5" s="98"/>
      <c r="AJ5" s="200"/>
      <c r="AK5" s="200"/>
      <c r="AL5" s="200"/>
      <c r="AM5" s="200"/>
      <c r="AN5" s="200"/>
    </row>
    <row r="6" spans="1:44" s="97" customFormat="1" ht="13.2" customHeight="1" x14ac:dyDescent="0.3">
      <c r="A6" s="12"/>
      <c r="F6" s="835"/>
      <c r="G6" s="836"/>
      <c r="H6" s="837"/>
      <c r="I6" s="114"/>
      <c r="J6" s="114"/>
      <c r="K6" s="98"/>
      <c r="L6" s="114"/>
      <c r="M6" s="114"/>
      <c r="N6" s="114"/>
      <c r="O6" s="145"/>
      <c r="P6" s="98"/>
      <c r="R6" s="649"/>
      <c r="T6" s="98"/>
      <c r="AJ6" s="200"/>
      <c r="AK6" s="200"/>
      <c r="AL6" s="200"/>
      <c r="AM6" s="200"/>
      <c r="AN6" s="200"/>
      <c r="AR6" s="200"/>
    </row>
    <row r="7" spans="1:44" s="97" customFormat="1" ht="19.2" customHeight="1" x14ac:dyDescent="0.45">
      <c r="B7" s="119" t="s">
        <v>74</v>
      </c>
      <c r="D7" s="146"/>
      <c r="H7" s="98"/>
      <c r="K7" s="98"/>
      <c r="L7" s="490"/>
      <c r="M7" s="102"/>
      <c r="N7" s="102"/>
      <c r="R7" s="649"/>
      <c r="T7" s="98"/>
      <c r="AJ7" s="200"/>
      <c r="AK7" s="200"/>
      <c r="AL7" s="200"/>
      <c r="AM7" s="200"/>
      <c r="AN7" s="200"/>
      <c r="AR7" s="200"/>
    </row>
    <row r="8" spans="1:44" s="97" customFormat="1" ht="10.95" customHeight="1" x14ac:dyDescent="0.3">
      <c r="A8" s="147"/>
      <c r="R8" s="649"/>
      <c r="AJ8" s="200"/>
      <c r="AK8" s="200"/>
      <c r="AL8" s="200"/>
      <c r="AM8" s="200"/>
      <c r="AN8" s="200"/>
      <c r="AR8" s="200"/>
    </row>
    <row r="9" spans="1:44" s="97" customFormat="1" ht="29.55" customHeight="1" x14ac:dyDescent="0.3">
      <c r="A9" s="147"/>
      <c r="B9" s="804" t="s">
        <v>59</v>
      </c>
      <c r="C9" s="765" t="s">
        <v>75</v>
      </c>
      <c r="D9" s="766"/>
      <c r="E9" s="767"/>
      <c r="F9" s="715" t="s">
        <v>76</v>
      </c>
      <c r="G9" s="807"/>
      <c r="H9" s="716"/>
      <c r="I9" s="765" t="s">
        <v>260</v>
      </c>
      <c r="J9" s="766"/>
      <c r="K9" s="767"/>
      <c r="L9" s="845" t="s">
        <v>78</v>
      </c>
      <c r="M9" s="846"/>
      <c r="N9" s="847"/>
      <c r="O9" s="845" t="s">
        <v>79</v>
      </c>
      <c r="P9" s="847"/>
      <c r="R9" s="649"/>
      <c r="T9" s="763" t="s">
        <v>80</v>
      </c>
      <c r="U9" s="773"/>
      <c r="V9" s="764"/>
      <c r="W9" s="952" t="s">
        <v>81</v>
      </c>
      <c r="X9" s="953"/>
      <c r="Y9" s="797"/>
      <c r="Z9" s="797"/>
      <c r="AA9" s="797"/>
      <c r="AB9" s="952" t="s">
        <v>82</v>
      </c>
      <c r="AC9" s="954"/>
      <c r="AD9" s="953"/>
      <c r="AE9" s="763" t="s">
        <v>83</v>
      </c>
      <c r="AF9" s="773"/>
      <c r="AG9" s="764"/>
      <c r="AH9" s="763" t="s">
        <v>84</v>
      </c>
      <c r="AI9" s="899" t="s">
        <v>85</v>
      </c>
      <c r="AJ9" s="971" t="s">
        <v>261</v>
      </c>
      <c r="AK9" s="200"/>
      <c r="AL9" s="200"/>
      <c r="AM9" s="200"/>
      <c r="AN9" s="429"/>
      <c r="AR9" s="200"/>
    </row>
    <row r="10" spans="1:44" s="97" customFormat="1" ht="31.8" customHeight="1" x14ac:dyDescent="0.3">
      <c r="A10" s="147"/>
      <c r="B10" s="728"/>
      <c r="C10" s="144" t="s">
        <v>86</v>
      </c>
      <c r="D10" s="911" t="s">
        <v>87</v>
      </c>
      <c r="E10" s="912"/>
      <c r="F10" s="972"/>
      <c r="G10" s="973"/>
      <c r="H10" s="974"/>
      <c r="I10" s="144" t="s">
        <v>232</v>
      </c>
      <c r="J10" s="54" t="s">
        <v>233</v>
      </c>
      <c r="K10" s="42" t="s">
        <v>234</v>
      </c>
      <c r="L10" s="144" t="s">
        <v>235</v>
      </c>
      <c r="M10" s="54" t="s">
        <v>236</v>
      </c>
      <c r="N10" s="42" t="s">
        <v>93</v>
      </c>
      <c r="O10" s="144" t="s">
        <v>94</v>
      </c>
      <c r="P10" s="42" t="s">
        <v>95</v>
      </c>
      <c r="R10" s="649"/>
      <c r="T10" s="798" t="s">
        <v>96</v>
      </c>
      <c r="U10" s="799"/>
      <c r="V10" s="43" t="s">
        <v>97</v>
      </c>
      <c r="W10" s="373" t="s">
        <v>98</v>
      </c>
      <c r="X10" s="369" t="s">
        <v>97</v>
      </c>
      <c r="Y10" s="371"/>
      <c r="Z10" s="366"/>
      <c r="AA10" s="366"/>
      <c r="AB10" s="358" t="s">
        <v>82</v>
      </c>
      <c r="AC10" s="358" t="s">
        <v>82</v>
      </c>
      <c r="AD10" s="369" t="s">
        <v>99</v>
      </c>
      <c r="AE10" s="65" t="s">
        <v>100</v>
      </c>
      <c r="AF10" s="64" t="s">
        <v>101</v>
      </c>
      <c r="AG10" s="43" t="s">
        <v>102</v>
      </c>
      <c r="AH10" s="798"/>
      <c r="AI10" s="970"/>
      <c r="AJ10" s="971"/>
      <c r="AK10" s="200"/>
      <c r="AL10" s="200"/>
      <c r="AM10" s="200"/>
      <c r="AO10" s="429"/>
      <c r="AR10" s="200" t="s">
        <v>262</v>
      </c>
    </row>
    <row r="11" spans="1:44" s="97" customFormat="1" ht="15.45" customHeight="1" x14ac:dyDescent="0.3">
      <c r="A11" s="147"/>
      <c r="B11" s="292">
        <v>1</v>
      </c>
      <c r="C11" s="184" t="s">
        <v>263</v>
      </c>
      <c r="D11" s="733"/>
      <c r="E11" s="733"/>
      <c r="F11" s="964"/>
      <c r="G11" s="964"/>
      <c r="H11" s="964"/>
      <c r="I11" s="465"/>
      <c r="J11" s="317"/>
      <c r="K11" s="318"/>
      <c r="L11" s="52" t="str">
        <f t="shared" ref="L11:L30" si="0">IF(D11="","",IFERROR(IF(I11="","",((I11/1000)*V11*X11)*AD11*AJ11),"This intervention is not permitted within the SSM ▲"))</f>
        <v/>
      </c>
      <c r="M11" s="406" t="str">
        <f t="shared" ref="M11:M30" si="1">IF(I11="","",IF(J11+K11&gt;I11,"Length Error ▲",I11-J11-K11))</f>
        <v/>
      </c>
      <c r="N11" s="52" t="str">
        <f t="shared" ref="N11:N30" si="2">IFERROR(IF(I11="","",IF(M11="Length Error ▲","Length Error ▲",((M11/1000)*V11*X11)*AD11*AJ11)),"This intervention is not permitted within the SSM ▲")</f>
        <v/>
      </c>
      <c r="O11" s="130"/>
      <c r="P11" s="189"/>
      <c r="R11" s="649"/>
      <c r="T11" s="785" t="str">
        <f>IF(D11="","",VLOOKUP(D11,'9. All Habitats + Multipliers'!$C$4:$K$102,5,FALSE))</f>
        <v/>
      </c>
      <c r="U11" s="786"/>
      <c r="V11" s="149" t="str">
        <f>IF(T11="","",VLOOKUP(T11,'11. Lists'!$B$47:$D$49,2,FALSE))</f>
        <v/>
      </c>
      <c r="W11" s="61" t="str">
        <f>IF(D11="","",VLOOKUP(D11,'10. Condition and Temporal'!$B$6:$C$103,2,FALSE))</f>
        <v/>
      </c>
      <c r="X11" s="149" t="str">
        <f>IF(W11="","",VLOOKUP(W11,'11. Lists'!$F$47:$G$51,2,FALSE))</f>
        <v/>
      </c>
      <c r="Y11" s="372"/>
      <c r="Z11" s="350"/>
      <c r="AA11" s="370"/>
      <c r="AB11" s="60" t="str">
        <f t="shared" ref="AB11:AB30" si="3">IF(F11="","",F11)</f>
        <v/>
      </c>
      <c r="AC11" s="60" t="str">
        <f>IF(AB11="","",VLOOKUP(AB11,'11. Lists'!$F$36:$H$38,2,FALSE))</f>
        <v/>
      </c>
      <c r="AD11" s="148" t="str">
        <f>IF(AB11="","",VLOOKUP(AB11,'11. Lists'!$F$36:$H$38,3,FALSE))</f>
        <v/>
      </c>
      <c r="AE11" s="312" t="str">
        <f t="shared" ref="AE11:AE30" si="4">IF(D11="","",((J11/1000)*V11*X11)*AD11)</f>
        <v/>
      </c>
      <c r="AF11" s="313" t="str">
        <f t="shared" ref="AF11:AF30" si="5">IF(D11="","",((K11/1000)*V11*X11)*AD11*AJ11)</f>
        <v/>
      </c>
      <c r="AG11" s="314" t="str">
        <f t="shared" ref="AG11:AG30" si="6">IF(D11="","",M11)</f>
        <v/>
      </c>
      <c r="AH11" s="61" t="str">
        <f>IF(T11="","",VLOOKUP(T11,'11. Lists'!$B$47:$D$49,3,FALSE))</f>
        <v/>
      </c>
      <c r="AI11" s="351" t="str">
        <f>IF(D11="","",VLOOKUP(D11,'10. Condition and Temporal'!$B$6:$L$103,4,FALSE))</f>
        <v/>
      </c>
      <c r="AJ11" s="469" t="str" cm="1">
        <f t="array" ref="AJ11:AK30">IF($D$11:$E$30="Culvert","0.68","1")</f>
        <v>1</v>
      </c>
      <c r="AK11" s="200" t="str">
        <v>1</v>
      </c>
      <c r="AL11" s="200"/>
      <c r="AM11" s="200"/>
      <c r="AN11" s="429"/>
      <c r="AR11" s="200" t="str">
        <f t="shared" ref="AR11:AR30" si="7">IF(D11="","",IFERROR(IF(I11="","",((I11/1000)*V11*X11)*AD11),"This intervention is not permitted within the SSM ▲"))</f>
        <v/>
      </c>
    </row>
    <row r="12" spans="1:44" s="97" customFormat="1" ht="15.45" customHeight="1" x14ac:dyDescent="0.3">
      <c r="B12" s="286">
        <v>2</v>
      </c>
      <c r="C12" s="183" t="s">
        <v>263</v>
      </c>
      <c r="D12" s="733"/>
      <c r="E12" s="733"/>
      <c r="F12" s="964"/>
      <c r="G12" s="964"/>
      <c r="H12" s="964"/>
      <c r="I12" s="466"/>
      <c r="J12" s="320"/>
      <c r="K12" s="321"/>
      <c r="L12" s="24" t="str">
        <f t="shared" si="0"/>
        <v/>
      </c>
      <c r="M12" s="315" t="str">
        <f t="shared" si="1"/>
        <v/>
      </c>
      <c r="N12" s="24" t="str">
        <f t="shared" si="2"/>
        <v/>
      </c>
      <c r="O12" s="130"/>
      <c r="P12" s="77"/>
      <c r="R12" s="649"/>
      <c r="T12" s="785" t="str">
        <f>IF(D12="","",VLOOKUP(D12,'9. All Habitats + Multipliers'!$C$4:$K$102,5,FALSE))</f>
        <v/>
      </c>
      <c r="U12" s="786"/>
      <c r="V12" s="149" t="str">
        <f>IF(T12="","",VLOOKUP(T12,'11. Lists'!$B$47:$D$49,2,FALSE))</f>
        <v/>
      </c>
      <c r="W12" s="61" t="str">
        <f>IF(D12="","",VLOOKUP(D12,'10. Condition and Temporal'!$B$6:$C$103,2,FALSE))</f>
        <v/>
      </c>
      <c r="X12" s="149" t="str">
        <f>IF(W12="","",VLOOKUP(W12,'11. Lists'!$F$47:$G$51,2,FALSE))</f>
        <v/>
      </c>
      <c r="Y12" s="372"/>
      <c r="Z12" s="350"/>
      <c r="AA12" s="370"/>
      <c r="AB12" s="60" t="str">
        <f t="shared" si="3"/>
        <v/>
      </c>
      <c r="AC12" s="60" t="str">
        <f>IF(AB12="","",VLOOKUP(AB12,'11. Lists'!$F$36:$H$38,2,FALSE))</f>
        <v/>
      </c>
      <c r="AD12" s="148" t="str">
        <f>IF(AB12="","",VLOOKUP(AB12,'11. Lists'!$F$36:$H$38,3,FALSE))</f>
        <v/>
      </c>
      <c r="AE12" s="312" t="str">
        <f t="shared" si="4"/>
        <v/>
      </c>
      <c r="AF12" s="313" t="str">
        <f t="shared" si="5"/>
        <v/>
      </c>
      <c r="AG12" s="314" t="str">
        <f t="shared" si="6"/>
        <v/>
      </c>
      <c r="AH12" s="61" t="str">
        <f>IF(T12="","",VLOOKUP(T12,'11. Lists'!$B$47:$D$49,3,FALSE))</f>
        <v/>
      </c>
      <c r="AI12" s="351" t="str">
        <f>IF(D12="","",VLOOKUP(D12,'10. Condition and Temporal'!$B$6:$L$103,4,FALSE))</f>
        <v/>
      </c>
      <c r="AJ12" s="469" t="str">
        <v>1</v>
      </c>
      <c r="AK12" s="200" t="str">
        <v>1</v>
      </c>
      <c r="AL12" s="200"/>
      <c r="AM12" s="200"/>
      <c r="AN12" s="429"/>
      <c r="AR12" s="200" t="str">
        <f t="shared" si="7"/>
        <v/>
      </c>
    </row>
    <row r="13" spans="1:44" s="97" customFormat="1" ht="15.45" customHeight="1" x14ac:dyDescent="0.3">
      <c r="B13" s="286">
        <v>3</v>
      </c>
      <c r="C13" s="183" t="s">
        <v>263</v>
      </c>
      <c r="D13" s="733"/>
      <c r="E13" s="733"/>
      <c r="F13" s="964"/>
      <c r="G13" s="964"/>
      <c r="H13" s="964"/>
      <c r="I13" s="466"/>
      <c r="J13" s="320"/>
      <c r="K13" s="321"/>
      <c r="L13" s="24" t="str">
        <f t="shared" si="0"/>
        <v/>
      </c>
      <c r="M13" s="315" t="str">
        <f t="shared" si="1"/>
        <v/>
      </c>
      <c r="N13" s="24" t="str">
        <f t="shared" si="2"/>
        <v/>
      </c>
      <c r="O13" s="130"/>
      <c r="P13" s="77"/>
      <c r="R13" s="649"/>
      <c r="T13" s="785" t="str">
        <f>IF(D13="","",VLOOKUP(D13,'9. All Habitats + Multipliers'!$C$4:$K$102,5,FALSE))</f>
        <v/>
      </c>
      <c r="U13" s="786"/>
      <c r="V13" s="149" t="str">
        <f>IF(T13="","",VLOOKUP(T13,'11. Lists'!$B$47:$D$49,2,FALSE))</f>
        <v/>
      </c>
      <c r="W13" s="61" t="str">
        <f>IF(D13="","",VLOOKUP(D13,'10. Condition and Temporal'!$B$6:$C$103,2,FALSE))</f>
        <v/>
      </c>
      <c r="X13" s="149" t="str">
        <f>IF(W13="","",VLOOKUP(W13,'11. Lists'!$F$47:$G$51,2,FALSE))</f>
        <v/>
      </c>
      <c r="Y13" s="372"/>
      <c r="Z13" s="350"/>
      <c r="AA13" s="370"/>
      <c r="AB13" s="60" t="str">
        <f t="shared" si="3"/>
        <v/>
      </c>
      <c r="AC13" s="60" t="str">
        <f>IF(AB13="","",VLOOKUP(AB13,'11. Lists'!$F$36:$H$38,2,FALSE))</f>
        <v/>
      </c>
      <c r="AD13" s="148" t="str">
        <f>IF(AB13="","",VLOOKUP(AB13,'11. Lists'!$F$36:$H$38,3,FALSE))</f>
        <v/>
      </c>
      <c r="AE13" s="312" t="str">
        <f t="shared" si="4"/>
        <v/>
      </c>
      <c r="AF13" s="313" t="str">
        <f t="shared" si="5"/>
        <v/>
      </c>
      <c r="AG13" s="314" t="str">
        <f t="shared" si="6"/>
        <v/>
      </c>
      <c r="AH13" s="61" t="str">
        <f>IF(T13="","",VLOOKUP(T13,'11. Lists'!$B$47:$D$49,3,FALSE))</f>
        <v/>
      </c>
      <c r="AI13" s="351" t="str">
        <f>IF(D13="","",VLOOKUP(D13,'10. Condition and Temporal'!$B$6:$L$103,4,FALSE))</f>
        <v/>
      </c>
      <c r="AJ13" s="469" t="str">
        <v>1</v>
      </c>
      <c r="AK13" s="200" t="str">
        <v>1</v>
      </c>
      <c r="AL13" s="200"/>
      <c r="AM13" s="200"/>
      <c r="AN13" s="429"/>
      <c r="AR13" s="200" t="str">
        <f t="shared" si="7"/>
        <v/>
      </c>
    </row>
    <row r="14" spans="1:44" s="97" customFormat="1" ht="15.45" customHeight="1" x14ac:dyDescent="0.3">
      <c r="B14" s="286">
        <v>4</v>
      </c>
      <c r="C14" s="183" t="s">
        <v>263</v>
      </c>
      <c r="D14" s="733"/>
      <c r="E14" s="733"/>
      <c r="F14" s="964"/>
      <c r="G14" s="964"/>
      <c r="H14" s="964"/>
      <c r="I14" s="466"/>
      <c r="J14" s="320"/>
      <c r="K14" s="321"/>
      <c r="L14" s="24" t="str">
        <f t="shared" si="0"/>
        <v/>
      </c>
      <c r="M14" s="315" t="str">
        <f t="shared" si="1"/>
        <v/>
      </c>
      <c r="N14" s="24" t="str">
        <f t="shared" si="2"/>
        <v/>
      </c>
      <c r="O14" s="130"/>
      <c r="P14" s="77"/>
      <c r="R14" s="649"/>
      <c r="T14" s="785" t="str">
        <f>IF(D14="","",VLOOKUP(D14,'9. All Habitats + Multipliers'!$C$4:$K$102,5,FALSE))</f>
        <v/>
      </c>
      <c r="U14" s="786"/>
      <c r="V14" s="149" t="str">
        <f>IF(T14="","",VLOOKUP(T14,'11. Lists'!$B$47:$D$49,2,FALSE))</f>
        <v/>
      </c>
      <c r="W14" s="61" t="str">
        <f>IF(D14="","",VLOOKUP(D14,'10. Condition and Temporal'!$B$6:$C$103,2,FALSE))</f>
        <v/>
      </c>
      <c r="X14" s="149" t="str">
        <f>IF(W14="","",VLOOKUP(W14,'11. Lists'!$F$47:$G$51,2,FALSE))</f>
        <v/>
      </c>
      <c r="Y14" s="372"/>
      <c r="Z14" s="350"/>
      <c r="AA14" s="370"/>
      <c r="AB14" s="60" t="str">
        <f t="shared" si="3"/>
        <v/>
      </c>
      <c r="AC14" s="60" t="str">
        <f>IF(AB14="","",VLOOKUP(AB14,'11. Lists'!$F$36:$H$38,2,FALSE))</f>
        <v/>
      </c>
      <c r="AD14" s="148" t="str">
        <f>IF(AB14="","",VLOOKUP(AB14,'11. Lists'!$F$36:$H$38,3,FALSE))</f>
        <v/>
      </c>
      <c r="AE14" s="312" t="str">
        <f t="shared" si="4"/>
        <v/>
      </c>
      <c r="AF14" s="313" t="str">
        <f t="shared" si="5"/>
        <v/>
      </c>
      <c r="AG14" s="314" t="str">
        <f t="shared" si="6"/>
        <v/>
      </c>
      <c r="AH14" s="61" t="str">
        <f>IF(T14="","",VLOOKUP(T14,'11. Lists'!$B$47:$D$49,3,FALSE))</f>
        <v/>
      </c>
      <c r="AI14" s="351" t="str">
        <f>IF(D14="","",VLOOKUP(D14,'10. Condition and Temporal'!$B$6:$L$103,4,FALSE))</f>
        <v/>
      </c>
      <c r="AJ14" s="469" t="str">
        <v>1</v>
      </c>
      <c r="AK14" s="200" t="str">
        <v>1</v>
      </c>
      <c r="AL14" s="200"/>
      <c r="AM14" s="200"/>
      <c r="AN14" s="429"/>
      <c r="AR14" s="200" t="str">
        <f t="shared" si="7"/>
        <v/>
      </c>
    </row>
    <row r="15" spans="1:44" s="97" customFormat="1" ht="15.45" customHeight="1" x14ac:dyDescent="0.3">
      <c r="B15" s="286">
        <v>5</v>
      </c>
      <c r="C15" s="183" t="s">
        <v>263</v>
      </c>
      <c r="D15" s="733"/>
      <c r="E15" s="733"/>
      <c r="F15" s="964"/>
      <c r="G15" s="964"/>
      <c r="H15" s="964"/>
      <c r="I15" s="466"/>
      <c r="J15" s="320"/>
      <c r="K15" s="321"/>
      <c r="L15" s="24" t="str">
        <f t="shared" si="0"/>
        <v/>
      </c>
      <c r="M15" s="315" t="str">
        <f t="shared" si="1"/>
        <v/>
      </c>
      <c r="N15" s="24" t="str">
        <f t="shared" si="2"/>
        <v/>
      </c>
      <c r="O15" s="130"/>
      <c r="P15" s="77"/>
      <c r="R15" s="649"/>
      <c r="T15" s="785" t="str">
        <f>IF(D15="","",VLOOKUP(D15,'9. All Habitats + Multipliers'!$C$4:$K$102,5,FALSE))</f>
        <v/>
      </c>
      <c r="U15" s="786"/>
      <c r="V15" s="149" t="str">
        <f>IF(T15="","",VLOOKUP(T15,'11. Lists'!$B$47:$D$49,2,FALSE))</f>
        <v/>
      </c>
      <c r="W15" s="61" t="str">
        <f>IF(D15="","",VLOOKUP(D15,'10. Condition and Temporal'!$B$6:$C$103,2,FALSE))</f>
        <v/>
      </c>
      <c r="X15" s="149" t="str">
        <f>IF(W15="","",VLOOKUP(W15,'11. Lists'!$F$47:$G$51,2,FALSE))</f>
        <v/>
      </c>
      <c r="Y15" s="372"/>
      <c r="Z15" s="350"/>
      <c r="AA15" s="370"/>
      <c r="AB15" s="60" t="str">
        <f t="shared" si="3"/>
        <v/>
      </c>
      <c r="AC15" s="60" t="str">
        <f>IF(AB15="","",VLOOKUP(AB15,'11. Lists'!$F$36:$H$38,2,FALSE))</f>
        <v/>
      </c>
      <c r="AD15" s="148" t="str">
        <f>IF(AB15="","",VLOOKUP(AB15,'11. Lists'!$F$36:$H$38,3,FALSE))</f>
        <v/>
      </c>
      <c r="AE15" s="312" t="str">
        <f t="shared" si="4"/>
        <v/>
      </c>
      <c r="AF15" s="313" t="str">
        <f t="shared" si="5"/>
        <v/>
      </c>
      <c r="AG15" s="314" t="str">
        <f t="shared" si="6"/>
        <v/>
      </c>
      <c r="AH15" s="61" t="str">
        <f>IF(T15="","",VLOOKUP(T15,'11. Lists'!$B$47:$D$49,3,FALSE))</f>
        <v/>
      </c>
      <c r="AI15" s="351" t="str">
        <f>IF(D15="","",VLOOKUP(D15,'10. Condition and Temporal'!$B$6:$L$103,4,FALSE))</f>
        <v/>
      </c>
      <c r="AJ15" s="469" t="str">
        <v>1</v>
      </c>
      <c r="AK15" s="200" t="str">
        <v>1</v>
      </c>
      <c r="AL15" s="200"/>
      <c r="AM15" s="200"/>
      <c r="AN15" s="429"/>
      <c r="AR15" s="200" t="str">
        <f t="shared" si="7"/>
        <v/>
      </c>
    </row>
    <row r="16" spans="1:44" s="97" customFormat="1" ht="15.45" customHeight="1" x14ac:dyDescent="0.3">
      <c r="B16" s="286">
        <v>6</v>
      </c>
      <c r="C16" s="183" t="s">
        <v>263</v>
      </c>
      <c r="D16" s="733"/>
      <c r="E16" s="733"/>
      <c r="F16" s="964"/>
      <c r="G16" s="964"/>
      <c r="H16" s="964"/>
      <c r="I16" s="466"/>
      <c r="J16" s="320"/>
      <c r="K16" s="321"/>
      <c r="L16" s="24" t="str">
        <f t="shared" si="0"/>
        <v/>
      </c>
      <c r="M16" s="315" t="str">
        <f t="shared" si="1"/>
        <v/>
      </c>
      <c r="N16" s="24" t="str">
        <f t="shared" si="2"/>
        <v/>
      </c>
      <c r="O16" s="130"/>
      <c r="P16" s="77"/>
      <c r="R16" s="649"/>
      <c r="T16" s="785" t="str">
        <f>IF(D16="","",VLOOKUP(D16,'9. All Habitats + Multipliers'!$C$4:$K$102,5,FALSE))</f>
        <v/>
      </c>
      <c r="U16" s="786"/>
      <c r="V16" s="149" t="str">
        <f>IF(T16="","",VLOOKUP(T16,'11. Lists'!$B$47:$D$49,2,FALSE))</f>
        <v/>
      </c>
      <c r="W16" s="61" t="str">
        <f>IF(D16="","",VLOOKUP(D16,'10. Condition and Temporal'!$B$6:$C$103,2,FALSE))</f>
        <v/>
      </c>
      <c r="X16" s="149" t="str">
        <f>IF(W16="","",VLOOKUP(W16,'11. Lists'!$F$47:$G$51,2,FALSE))</f>
        <v/>
      </c>
      <c r="Y16" s="372"/>
      <c r="Z16" s="350"/>
      <c r="AA16" s="370"/>
      <c r="AB16" s="60" t="str">
        <f t="shared" si="3"/>
        <v/>
      </c>
      <c r="AC16" s="60" t="str">
        <f>IF(AB16="","",VLOOKUP(AB16,'11. Lists'!$F$36:$H$38,2,FALSE))</f>
        <v/>
      </c>
      <c r="AD16" s="148" t="str">
        <f>IF(AB16="","",VLOOKUP(AB16,'11. Lists'!$F$36:$H$38,3,FALSE))</f>
        <v/>
      </c>
      <c r="AE16" s="312" t="str">
        <f t="shared" si="4"/>
        <v/>
      </c>
      <c r="AF16" s="313" t="str">
        <f t="shared" si="5"/>
        <v/>
      </c>
      <c r="AG16" s="314" t="str">
        <f t="shared" si="6"/>
        <v/>
      </c>
      <c r="AH16" s="61" t="str">
        <f>IF(T16="","",VLOOKUP(T16,'11. Lists'!$B$47:$D$49,3,FALSE))</f>
        <v/>
      </c>
      <c r="AI16" s="351" t="str">
        <f>IF(D16="","",VLOOKUP(D16,'10. Condition and Temporal'!$B$6:$L$103,4,FALSE))</f>
        <v/>
      </c>
      <c r="AJ16" s="469" t="str">
        <v>1</v>
      </c>
      <c r="AK16" s="200" t="str">
        <v>1</v>
      </c>
      <c r="AL16" s="200"/>
      <c r="AM16" s="200"/>
      <c r="AN16" s="429"/>
      <c r="AR16" s="200" t="str">
        <f t="shared" si="7"/>
        <v/>
      </c>
    </row>
    <row r="17" spans="2:44" s="97" customFormat="1" ht="15.45" customHeight="1" x14ac:dyDescent="0.3">
      <c r="B17" s="286">
        <v>7</v>
      </c>
      <c r="C17" s="183" t="s">
        <v>263</v>
      </c>
      <c r="D17" s="733"/>
      <c r="E17" s="733"/>
      <c r="F17" s="964"/>
      <c r="G17" s="964"/>
      <c r="H17" s="964"/>
      <c r="I17" s="466"/>
      <c r="J17" s="320"/>
      <c r="K17" s="321"/>
      <c r="L17" s="24" t="str">
        <f t="shared" si="0"/>
        <v/>
      </c>
      <c r="M17" s="315" t="str">
        <f t="shared" si="1"/>
        <v/>
      </c>
      <c r="N17" s="24" t="str">
        <f t="shared" si="2"/>
        <v/>
      </c>
      <c r="O17" s="130"/>
      <c r="P17" s="77"/>
      <c r="R17" s="649"/>
      <c r="T17" s="785" t="str">
        <f>IF(D17="","",VLOOKUP(D17,'9. All Habitats + Multipliers'!$C$4:$K$102,5,FALSE))</f>
        <v/>
      </c>
      <c r="U17" s="786"/>
      <c r="V17" s="149" t="str">
        <f>IF(T17="","",VLOOKUP(T17,'11. Lists'!$B$47:$D$49,2,FALSE))</f>
        <v/>
      </c>
      <c r="W17" s="61" t="str">
        <f>IF(D17="","",VLOOKUP(D17,'10. Condition and Temporal'!$B$6:$C$103,2,FALSE))</f>
        <v/>
      </c>
      <c r="X17" s="149" t="str">
        <f>IF(W17="","",VLOOKUP(W17,'11. Lists'!$F$47:$G$51,2,FALSE))</f>
        <v/>
      </c>
      <c r="Y17" s="372"/>
      <c r="Z17" s="350"/>
      <c r="AA17" s="370"/>
      <c r="AB17" s="60" t="str">
        <f t="shared" si="3"/>
        <v/>
      </c>
      <c r="AC17" s="60" t="str">
        <f>IF(AB17="","",VLOOKUP(AB17,'11. Lists'!$F$36:$H$38,2,FALSE))</f>
        <v/>
      </c>
      <c r="AD17" s="148" t="str">
        <f>IF(AB17="","",VLOOKUP(AB17,'11. Lists'!$F$36:$H$38,3,FALSE))</f>
        <v/>
      </c>
      <c r="AE17" s="312" t="str">
        <f t="shared" si="4"/>
        <v/>
      </c>
      <c r="AF17" s="313" t="str">
        <f t="shared" si="5"/>
        <v/>
      </c>
      <c r="AG17" s="314" t="str">
        <f t="shared" si="6"/>
        <v/>
      </c>
      <c r="AH17" s="61" t="str">
        <f>IF(T17="","",VLOOKUP(T17,'11. Lists'!$B$47:$D$49,3,FALSE))</f>
        <v/>
      </c>
      <c r="AI17" s="351" t="str">
        <f>IF(D17="","",VLOOKUP(D17,'10. Condition and Temporal'!$B$6:$L$103,4,FALSE))</f>
        <v/>
      </c>
      <c r="AJ17" s="469" t="str">
        <v>1</v>
      </c>
      <c r="AK17" s="200" t="str">
        <v>1</v>
      </c>
      <c r="AL17" s="200"/>
      <c r="AM17" s="200"/>
      <c r="AN17" s="429"/>
      <c r="AR17" s="200" t="str">
        <f t="shared" si="7"/>
        <v/>
      </c>
    </row>
    <row r="18" spans="2:44" s="97" customFormat="1" ht="15.45" customHeight="1" x14ac:dyDescent="0.3">
      <c r="B18" s="286">
        <v>8</v>
      </c>
      <c r="C18" s="183" t="s">
        <v>263</v>
      </c>
      <c r="D18" s="733"/>
      <c r="E18" s="733"/>
      <c r="F18" s="964"/>
      <c r="G18" s="964"/>
      <c r="H18" s="964"/>
      <c r="I18" s="466"/>
      <c r="J18" s="320"/>
      <c r="K18" s="321"/>
      <c r="L18" s="24" t="str">
        <f t="shared" si="0"/>
        <v/>
      </c>
      <c r="M18" s="315" t="str">
        <f t="shared" si="1"/>
        <v/>
      </c>
      <c r="N18" s="24" t="str">
        <f t="shared" si="2"/>
        <v/>
      </c>
      <c r="O18" s="130"/>
      <c r="P18" s="77"/>
      <c r="R18" s="649"/>
      <c r="T18" s="785" t="str">
        <f>IF(D18="","",VLOOKUP(D18,'9. All Habitats + Multipliers'!$C$4:$K$102,5,FALSE))</f>
        <v/>
      </c>
      <c r="U18" s="786"/>
      <c r="V18" s="149" t="str">
        <f>IF(T18="","",VLOOKUP(T18,'11. Lists'!$B$47:$D$49,2,FALSE))</f>
        <v/>
      </c>
      <c r="W18" s="61" t="str">
        <f>IF(D18="","",VLOOKUP(D18,'10. Condition and Temporal'!$B$6:$C$103,2,FALSE))</f>
        <v/>
      </c>
      <c r="X18" s="149" t="str">
        <f>IF(W18="","",VLOOKUP(W18,'11. Lists'!$F$47:$G$51,2,FALSE))</f>
        <v/>
      </c>
      <c r="Y18" s="372"/>
      <c r="Z18" s="350"/>
      <c r="AA18" s="370"/>
      <c r="AB18" s="60" t="str">
        <f t="shared" si="3"/>
        <v/>
      </c>
      <c r="AC18" s="60" t="str">
        <f>IF(AB18="","",VLOOKUP(AB18,'11. Lists'!$F$36:$H$38,2,FALSE))</f>
        <v/>
      </c>
      <c r="AD18" s="148" t="str">
        <f>IF(AB18="","",VLOOKUP(AB18,'11. Lists'!$F$36:$H$38,3,FALSE))</f>
        <v/>
      </c>
      <c r="AE18" s="312" t="str">
        <f t="shared" si="4"/>
        <v/>
      </c>
      <c r="AF18" s="313" t="str">
        <f t="shared" si="5"/>
        <v/>
      </c>
      <c r="AG18" s="314" t="str">
        <f t="shared" si="6"/>
        <v/>
      </c>
      <c r="AH18" s="61" t="str">
        <f>IF(T18="","",VLOOKUP(T18,'11. Lists'!$B$47:$D$49,3,FALSE))</f>
        <v/>
      </c>
      <c r="AI18" s="351" t="str">
        <f>IF(D18="","",VLOOKUP(D18,'10. Condition and Temporal'!$B$6:$L$103,4,FALSE))</f>
        <v/>
      </c>
      <c r="AJ18" s="469" t="str">
        <v>1</v>
      </c>
      <c r="AK18" s="200" t="str">
        <v>1</v>
      </c>
      <c r="AL18" s="200"/>
      <c r="AM18" s="200"/>
      <c r="AN18" s="429"/>
      <c r="AR18" s="200" t="str">
        <f t="shared" si="7"/>
        <v/>
      </c>
    </row>
    <row r="19" spans="2:44" s="97" customFormat="1" ht="15.45" customHeight="1" x14ac:dyDescent="0.3">
      <c r="B19" s="286">
        <v>9</v>
      </c>
      <c r="C19" s="183" t="s">
        <v>263</v>
      </c>
      <c r="D19" s="733"/>
      <c r="E19" s="733"/>
      <c r="F19" s="964"/>
      <c r="G19" s="964"/>
      <c r="H19" s="964"/>
      <c r="I19" s="466"/>
      <c r="J19" s="320"/>
      <c r="K19" s="321"/>
      <c r="L19" s="24" t="str">
        <f t="shared" si="0"/>
        <v/>
      </c>
      <c r="M19" s="315" t="str">
        <f t="shared" si="1"/>
        <v/>
      </c>
      <c r="N19" s="24" t="str">
        <f t="shared" si="2"/>
        <v/>
      </c>
      <c r="O19" s="130"/>
      <c r="P19" s="77"/>
      <c r="R19" s="649"/>
      <c r="T19" s="785" t="str">
        <f>IF(D19="","",VLOOKUP(D19,'9. All Habitats + Multipliers'!$C$4:$K$102,5,FALSE))</f>
        <v/>
      </c>
      <c r="U19" s="786"/>
      <c r="V19" s="149" t="str">
        <f>IF(T19="","",VLOOKUP(T19,'11. Lists'!$B$47:$D$49,2,FALSE))</f>
        <v/>
      </c>
      <c r="W19" s="61" t="str">
        <f>IF(D19="","",VLOOKUP(D19,'10. Condition and Temporal'!$B$6:$C$103,2,FALSE))</f>
        <v/>
      </c>
      <c r="X19" s="149" t="str">
        <f>IF(W19="","",VLOOKUP(W19,'11. Lists'!$F$47:$G$51,2,FALSE))</f>
        <v/>
      </c>
      <c r="Y19" s="372"/>
      <c r="Z19" s="350"/>
      <c r="AA19" s="370"/>
      <c r="AB19" s="60" t="str">
        <f t="shared" si="3"/>
        <v/>
      </c>
      <c r="AC19" s="60" t="str">
        <f>IF(AB19="","",VLOOKUP(AB19,'11. Lists'!$F$36:$H$38,2,FALSE))</f>
        <v/>
      </c>
      <c r="AD19" s="148" t="str">
        <f>IF(AB19="","",VLOOKUP(AB19,'11. Lists'!$F$36:$H$38,3,FALSE))</f>
        <v/>
      </c>
      <c r="AE19" s="312" t="str">
        <f t="shared" si="4"/>
        <v/>
      </c>
      <c r="AF19" s="313" t="str">
        <f t="shared" si="5"/>
        <v/>
      </c>
      <c r="AG19" s="314" t="str">
        <f t="shared" si="6"/>
        <v/>
      </c>
      <c r="AH19" s="61" t="str">
        <f>IF(T19="","",VLOOKUP(T19,'11. Lists'!$B$47:$D$49,3,FALSE))</f>
        <v/>
      </c>
      <c r="AI19" s="351" t="str">
        <f>IF(D19="","",VLOOKUP(D19,'10. Condition and Temporal'!$B$6:$L$103,4,FALSE))</f>
        <v/>
      </c>
      <c r="AJ19" s="469" t="str">
        <v>1</v>
      </c>
      <c r="AK19" s="200" t="str">
        <v>1</v>
      </c>
      <c r="AL19" s="200"/>
      <c r="AM19" s="200"/>
      <c r="AN19" s="429"/>
      <c r="AR19" s="200" t="str">
        <f t="shared" si="7"/>
        <v/>
      </c>
    </row>
    <row r="20" spans="2:44" s="97" customFormat="1" ht="15.45" customHeight="1" x14ac:dyDescent="0.3">
      <c r="B20" s="286">
        <v>10</v>
      </c>
      <c r="C20" s="183" t="s">
        <v>263</v>
      </c>
      <c r="D20" s="733"/>
      <c r="E20" s="733"/>
      <c r="F20" s="964"/>
      <c r="G20" s="964"/>
      <c r="H20" s="964"/>
      <c r="I20" s="466"/>
      <c r="J20" s="320"/>
      <c r="K20" s="321"/>
      <c r="L20" s="24" t="str">
        <f t="shared" si="0"/>
        <v/>
      </c>
      <c r="M20" s="315" t="str">
        <f t="shared" si="1"/>
        <v/>
      </c>
      <c r="N20" s="24" t="str">
        <f t="shared" si="2"/>
        <v/>
      </c>
      <c r="O20" s="130"/>
      <c r="P20" s="81"/>
      <c r="R20" s="649"/>
      <c r="T20" s="785" t="str">
        <f>IF(D20="","",VLOOKUP(D20,'9. All Habitats + Multipliers'!$C$4:$K$102,5,FALSE))</f>
        <v/>
      </c>
      <c r="U20" s="786"/>
      <c r="V20" s="149" t="str">
        <f>IF(T20="","",VLOOKUP(T20,'11. Lists'!$B$47:$D$49,2,FALSE))</f>
        <v/>
      </c>
      <c r="W20" s="61" t="str">
        <f>IF(D20="","",VLOOKUP(D20,'10. Condition and Temporal'!$B$6:$C$103,2,FALSE))</f>
        <v/>
      </c>
      <c r="X20" s="149" t="str">
        <f>IF(W20="","",VLOOKUP(W20,'11. Lists'!$F$47:$G$51,2,FALSE))</f>
        <v/>
      </c>
      <c r="Y20" s="372"/>
      <c r="Z20" s="350"/>
      <c r="AA20" s="370"/>
      <c r="AB20" s="60" t="str">
        <f t="shared" si="3"/>
        <v/>
      </c>
      <c r="AC20" s="60" t="str">
        <f>IF(AB20="","",VLOOKUP(AB20,'11. Lists'!$F$36:$H$38,2,FALSE))</f>
        <v/>
      </c>
      <c r="AD20" s="148" t="str">
        <f>IF(AB20="","",VLOOKUP(AB20,'11. Lists'!$F$36:$H$38,3,FALSE))</f>
        <v/>
      </c>
      <c r="AE20" s="312" t="str">
        <f t="shared" si="4"/>
        <v/>
      </c>
      <c r="AF20" s="313" t="str">
        <f t="shared" si="5"/>
        <v/>
      </c>
      <c r="AG20" s="314" t="str">
        <f t="shared" si="6"/>
        <v/>
      </c>
      <c r="AH20" s="61" t="str">
        <f>IF(T20="","",VLOOKUP(T20,'11. Lists'!$B$47:$D$49,3,FALSE))</f>
        <v/>
      </c>
      <c r="AI20" s="351" t="str">
        <f>IF(D20="","",VLOOKUP(D20,'10. Condition and Temporal'!$B$6:$L$103,4,FALSE))</f>
        <v/>
      </c>
      <c r="AJ20" s="469" t="str">
        <v>1</v>
      </c>
      <c r="AK20" s="200" t="str">
        <v>1</v>
      </c>
      <c r="AL20" s="200"/>
      <c r="AM20" s="200"/>
      <c r="AN20" s="429"/>
      <c r="AR20" s="200" t="str">
        <f t="shared" si="7"/>
        <v/>
      </c>
    </row>
    <row r="21" spans="2:44" s="97" customFormat="1" ht="15.45" customHeight="1" x14ac:dyDescent="0.3">
      <c r="B21" s="286">
        <v>11</v>
      </c>
      <c r="C21" s="183" t="s">
        <v>263</v>
      </c>
      <c r="D21" s="733"/>
      <c r="E21" s="733"/>
      <c r="F21" s="964"/>
      <c r="G21" s="964"/>
      <c r="H21" s="964"/>
      <c r="I21" s="466"/>
      <c r="J21" s="320"/>
      <c r="K21" s="321"/>
      <c r="L21" s="24" t="str">
        <f t="shared" si="0"/>
        <v/>
      </c>
      <c r="M21" s="315" t="str">
        <f t="shared" si="1"/>
        <v/>
      </c>
      <c r="N21" s="24" t="str">
        <f t="shared" si="2"/>
        <v/>
      </c>
      <c r="O21" s="130"/>
      <c r="P21" s="81"/>
      <c r="R21" s="649"/>
      <c r="T21" s="785" t="str">
        <f>IF(D21="","",VLOOKUP(D21,'9. All Habitats + Multipliers'!$C$4:$K$102,5,FALSE))</f>
        <v/>
      </c>
      <c r="U21" s="786"/>
      <c r="V21" s="149" t="str">
        <f>IF(T21="","",VLOOKUP(T21,'11. Lists'!$B$47:$D$49,2,FALSE))</f>
        <v/>
      </c>
      <c r="W21" s="61" t="str">
        <f>IF(D21="","",VLOOKUP(D21,'10. Condition and Temporal'!$B$6:$C$103,2,FALSE))</f>
        <v/>
      </c>
      <c r="X21" s="149" t="str">
        <f>IF(W21="","",VLOOKUP(W21,'11. Lists'!$F$47:$G$51,2,FALSE))</f>
        <v/>
      </c>
      <c r="Y21" s="372"/>
      <c r="Z21" s="350"/>
      <c r="AA21" s="370"/>
      <c r="AB21" s="60" t="str">
        <f t="shared" si="3"/>
        <v/>
      </c>
      <c r="AC21" s="60" t="str">
        <f>IF(AB21="","",VLOOKUP(AB21,'11. Lists'!$F$36:$H$38,2,FALSE))</f>
        <v/>
      </c>
      <c r="AD21" s="148" t="str">
        <f>IF(AB21="","",VLOOKUP(AB21,'11. Lists'!$F$36:$H$38,3,FALSE))</f>
        <v/>
      </c>
      <c r="AE21" s="312" t="str">
        <f t="shared" si="4"/>
        <v/>
      </c>
      <c r="AF21" s="313" t="str">
        <f t="shared" si="5"/>
        <v/>
      </c>
      <c r="AG21" s="314" t="str">
        <f t="shared" si="6"/>
        <v/>
      </c>
      <c r="AH21" s="61" t="str">
        <f>IF(T21="","",VLOOKUP(T21,'11. Lists'!$B$47:$D$49,3,FALSE))</f>
        <v/>
      </c>
      <c r="AI21" s="351" t="str">
        <f>IF(D21="","",VLOOKUP(D21,'10. Condition and Temporal'!$B$6:$L$103,4,FALSE))</f>
        <v/>
      </c>
      <c r="AJ21" s="469" t="str">
        <v>1</v>
      </c>
      <c r="AK21" s="200" t="str">
        <v>1</v>
      </c>
      <c r="AL21" s="200"/>
      <c r="AM21" s="200"/>
      <c r="AN21" s="429"/>
      <c r="AR21" s="200" t="str">
        <f t="shared" si="7"/>
        <v/>
      </c>
    </row>
    <row r="22" spans="2:44" s="97" customFormat="1" ht="15.45" customHeight="1" x14ac:dyDescent="0.3">
      <c r="B22" s="286">
        <v>12</v>
      </c>
      <c r="C22" s="183" t="s">
        <v>263</v>
      </c>
      <c r="D22" s="733"/>
      <c r="E22" s="733"/>
      <c r="F22" s="964"/>
      <c r="G22" s="964"/>
      <c r="H22" s="964"/>
      <c r="I22" s="466"/>
      <c r="J22" s="320"/>
      <c r="K22" s="321"/>
      <c r="L22" s="24" t="str">
        <f t="shared" si="0"/>
        <v/>
      </c>
      <c r="M22" s="315" t="str">
        <f t="shared" si="1"/>
        <v/>
      </c>
      <c r="N22" s="24" t="str">
        <f t="shared" si="2"/>
        <v/>
      </c>
      <c r="O22" s="130"/>
      <c r="P22" s="81"/>
      <c r="R22" s="649"/>
      <c r="T22" s="785" t="str">
        <f>IF(D22="","",VLOOKUP(D22,'9. All Habitats + Multipliers'!$C$4:$K$102,5,FALSE))</f>
        <v/>
      </c>
      <c r="U22" s="786"/>
      <c r="V22" s="149" t="str">
        <f>IF(T22="","",VLOOKUP(T22,'11. Lists'!$B$47:$D$49,2,FALSE))</f>
        <v/>
      </c>
      <c r="W22" s="61" t="str">
        <f>IF(D22="","",VLOOKUP(D22,'10. Condition and Temporal'!$B$6:$C$103,2,FALSE))</f>
        <v/>
      </c>
      <c r="X22" s="149" t="str">
        <f>IF(W22="","",VLOOKUP(W22,'11. Lists'!$F$47:$G$51,2,FALSE))</f>
        <v/>
      </c>
      <c r="Y22" s="372"/>
      <c r="Z22" s="350"/>
      <c r="AA22" s="370"/>
      <c r="AB22" s="60" t="str">
        <f t="shared" si="3"/>
        <v/>
      </c>
      <c r="AC22" s="60" t="str">
        <f>IF(AB22="","",VLOOKUP(AB22,'11. Lists'!$F$36:$H$38,2,FALSE))</f>
        <v/>
      </c>
      <c r="AD22" s="148" t="str">
        <f>IF(AB22="","",VLOOKUP(AB22,'11. Lists'!$F$36:$H$38,3,FALSE))</f>
        <v/>
      </c>
      <c r="AE22" s="312" t="str">
        <f t="shared" si="4"/>
        <v/>
      </c>
      <c r="AF22" s="313" t="str">
        <f t="shared" si="5"/>
        <v/>
      </c>
      <c r="AG22" s="314" t="str">
        <f t="shared" si="6"/>
        <v/>
      </c>
      <c r="AH22" s="61" t="str">
        <f>IF(T22="","",VLOOKUP(T22,'11. Lists'!$B$47:$D$49,3,FALSE))</f>
        <v/>
      </c>
      <c r="AI22" s="351" t="str">
        <f>IF(D22="","",VLOOKUP(D22,'10. Condition and Temporal'!$B$6:$L$103,4,FALSE))</f>
        <v/>
      </c>
      <c r="AJ22" s="469" t="str">
        <v>1</v>
      </c>
      <c r="AK22" s="200" t="str">
        <v>1</v>
      </c>
      <c r="AL22" s="200"/>
      <c r="AM22" s="200"/>
      <c r="AN22" s="429"/>
      <c r="AR22" s="200" t="str">
        <f t="shared" si="7"/>
        <v/>
      </c>
    </row>
    <row r="23" spans="2:44" s="97" customFormat="1" ht="15.45" customHeight="1" x14ac:dyDescent="0.3">
      <c r="B23" s="286">
        <v>13</v>
      </c>
      <c r="C23" s="183" t="s">
        <v>263</v>
      </c>
      <c r="D23" s="733"/>
      <c r="E23" s="733"/>
      <c r="F23" s="964"/>
      <c r="G23" s="964"/>
      <c r="H23" s="964"/>
      <c r="I23" s="466"/>
      <c r="J23" s="320"/>
      <c r="K23" s="321"/>
      <c r="L23" s="24" t="str">
        <f t="shared" si="0"/>
        <v/>
      </c>
      <c r="M23" s="315" t="str">
        <f t="shared" si="1"/>
        <v/>
      </c>
      <c r="N23" s="24" t="str">
        <f t="shared" si="2"/>
        <v/>
      </c>
      <c r="O23" s="130"/>
      <c r="P23" s="81"/>
      <c r="R23" s="649"/>
      <c r="T23" s="785" t="str">
        <f>IF(D23="","",VLOOKUP(D23,'9. All Habitats + Multipliers'!$C$4:$K$102,5,FALSE))</f>
        <v/>
      </c>
      <c r="U23" s="786"/>
      <c r="V23" s="149" t="str">
        <f>IF(T23="","",VLOOKUP(T23,'11. Lists'!$B$47:$D$49,2,FALSE))</f>
        <v/>
      </c>
      <c r="W23" s="61" t="str">
        <f>IF(D23="","",VLOOKUP(D23,'10. Condition and Temporal'!$B$6:$C$103,2,FALSE))</f>
        <v/>
      </c>
      <c r="X23" s="149" t="str">
        <f>IF(W23="","",VLOOKUP(W23,'11. Lists'!$F$47:$G$51,2,FALSE))</f>
        <v/>
      </c>
      <c r="Y23" s="372"/>
      <c r="Z23" s="350"/>
      <c r="AA23" s="370"/>
      <c r="AB23" s="60" t="str">
        <f t="shared" si="3"/>
        <v/>
      </c>
      <c r="AC23" s="60" t="str">
        <f>IF(AB23="","",VLOOKUP(AB23,'11. Lists'!$F$36:$H$38,2,FALSE))</f>
        <v/>
      </c>
      <c r="AD23" s="148" t="str">
        <f>IF(AB23="","",VLOOKUP(AB23,'11. Lists'!$F$36:$H$38,3,FALSE))</f>
        <v/>
      </c>
      <c r="AE23" s="312" t="str">
        <f t="shared" si="4"/>
        <v/>
      </c>
      <c r="AF23" s="313" t="str">
        <f t="shared" si="5"/>
        <v/>
      </c>
      <c r="AG23" s="314" t="str">
        <f t="shared" si="6"/>
        <v/>
      </c>
      <c r="AH23" s="61" t="str">
        <f>IF(T23="","",VLOOKUP(T23,'11. Lists'!$B$47:$D$49,3,FALSE))</f>
        <v/>
      </c>
      <c r="AI23" s="351" t="str">
        <f>IF(D23="","",VLOOKUP(D23,'10. Condition and Temporal'!$B$6:$L$103,4,FALSE))</f>
        <v/>
      </c>
      <c r="AJ23" s="469" t="str">
        <v>1</v>
      </c>
      <c r="AK23" s="200" t="str">
        <v>1</v>
      </c>
      <c r="AL23" s="200"/>
      <c r="AM23" s="200"/>
      <c r="AN23" s="429"/>
      <c r="AR23" s="200" t="str">
        <f t="shared" si="7"/>
        <v/>
      </c>
    </row>
    <row r="24" spans="2:44" s="97" customFormat="1" ht="15.45" customHeight="1" x14ac:dyDescent="0.3">
      <c r="B24" s="286">
        <v>14</v>
      </c>
      <c r="C24" s="183" t="s">
        <v>263</v>
      </c>
      <c r="D24" s="733"/>
      <c r="E24" s="733"/>
      <c r="F24" s="964"/>
      <c r="G24" s="964"/>
      <c r="H24" s="964"/>
      <c r="I24" s="466"/>
      <c r="J24" s="320"/>
      <c r="K24" s="321"/>
      <c r="L24" s="24" t="str">
        <f t="shared" si="0"/>
        <v/>
      </c>
      <c r="M24" s="315" t="str">
        <f t="shared" si="1"/>
        <v/>
      </c>
      <c r="N24" s="24" t="str">
        <f t="shared" si="2"/>
        <v/>
      </c>
      <c r="O24" s="130"/>
      <c r="P24" s="81"/>
      <c r="R24" s="649"/>
      <c r="T24" s="785" t="str">
        <f>IF(D24="","",VLOOKUP(D24,'9. All Habitats + Multipliers'!$C$4:$K$102,5,FALSE))</f>
        <v/>
      </c>
      <c r="U24" s="786"/>
      <c r="V24" s="149" t="str">
        <f>IF(T24="","",VLOOKUP(T24,'11. Lists'!$B$47:$D$49,2,FALSE))</f>
        <v/>
      </c>
      <c r="W24" s="61" t="str">
        <f>IF(D24="","",VLOOKUP(D24,'10. Condition and Temporal'!$B$6:$C$103,2,FALSE))</f>
        <v/>
      </c>
      <c r="X24" s="149" t="str">
        <f>IF(W24="","",VLOOKUP(W24,'11. Lists'!$F$47:$G$51,2,FALSE))</f>
        <v/>
      </c>
      <c r="Y24" s="372"/>
      <c r="Z24" s="350"/>
      <c r="AA24" s="370"/>
      <c r="AB24" s="60" t="str">
        <f t="shared" si="3"/>
        <v/>
      </c>
      <c r="AC24" s="60" t="str">
        <f>IF(AB24="","",VLOOKUP(AB24,'11. Lists'!$F$36:$H$38,2,FALSE))</f>
        <v/>
      </c>
      <c r="AD24" s="148" t="str">
        <f>IF(AB24="","",VLOOKUP(AB24,'11. Lists'!$F$36:$H$38,3,FALSE))</f>
        <v/>
      </c>
      <c r="AE24" s="312" t="str">
        <f t="shared" si="4"/>
        <v/>
      </c>
      <c r="AF24" s="313" t="str">
        <f t="shared" si="5"/>
        <v/>
      </c>
      <c r="AG24" s="314" t="str">
        <f t="shared" si="6"/>
        <v/>
      </c>
      <c r="AH24" s="61" t="str">
        <f>IF(T24="","",VLOOKUP(T24,'11. Lists'!$B$47:$D$49,3,FALSE))</f>
        <v/>
      </c>
      <c r="AI24" s="351" t="str">
        <f>IF(D24="","",VLOOKUP(D24,'10. Condition and Temporal'!$B$6:$L$103,4,FALSE))</f>
        <v/>
      </c>
      <c r="AJ24" s="469" t="str">
        <v>1</v>
      </c>
      <c r="AK24" s="200" t="str">
        <v>1</v>
      </c>
      <c r="AL24" s="200"/>
      <c r="AM24" s="200"/>
      <c r="AN24" s="429"/>
      <c r="AR24" s="200" t="str">
        <f t="shared" si="7"/>
        <v/>
      </c>
    </row>
    <row r="25" spans="2:44" s="97" customFormat="1" ht="15.45" customHeight="1" x14ac:dyDescent="0.3">
      <c r="B25" s="286">
        <v>15</v>
      </c>
      <c r="C25" s="183" t="s">
        <v>263</v>
      </c>
      <c r="D25" s="733"/>
      <c r="E25" s="733"/>
      <c r="F25" s="964"/>
      <c r="G25" s="964"/>
      <c r="H25" s="964"/>
      <c r="I25" s="466"/>
      <c r="J25" s="320"/>
      <c r="K25" s="321"/>
      <c r="L25" s="24" t="str">
        <f t="shared" si="0"/>
        <v/>
      </c>
      <c r="M25" s="315" t="str">
        <f t="shared" si="1"/>
        <v/>
      </c>
      <c r="N25" s="24" t="str">
        <f t="shared" si="2"/>
        <v/>
      </c>
      <c r="O25" s="130"/>
      <c r="P25" s="81"/>
      <c r="R25" s="649"/>
      <c r="T25" s="785" t="str">
        <f>IF(D25="","",VLOOKUP(D25,'9. All Habitats + Multipliers'!$C$4:$K$102,5,FALSE))</f>
        <v/>
      </c>
      <c r="U25" s="786"/>
      <c r="V25" s="149" t="str">
        <f>IF(T25="","",VLOOKUP(T25,'11. Lists'!$B$47:$D$49,2,FALSE))</f>
        <v/>
      </c>
      <c r="W25" s="61" t="str">
        <f>IF(D25="","",VLOOKUP(D25,'10. Condition and Temporal'!$B$6:$C$103,2,FALSE))</f>
        <v/>
      </c>
      <c r="X25" s="149" t="str">
        <f>IF(W25="","",VLOOKUP(W25,'11. Lists'!$F$47:$G$51,2,FALSE))</f>
        <v/>
      </c>
      <c r="Y25" s="372"/>
      <c r="Z25" s="350"/>
      <c r="AA25" s="370"/>
      <c r="AB25" s="60" t="str">
        <f t="shared" si="3"/>
        <v/>
      </c>
      <c r="AC25" s="60" t="str">
        <f>IF(AB25="","",VLOOKUP(AB25,'11. Lists'!$F$36:$H$38,2,FALSE))</f>
        <v/>
      </c>
      <c r="AD25" s="148" t="str">
        <f>IF(AB25="","",VLOOKUP(AB25,'11. Lists'!$F$36:$H$38,3,FALSE))</f>
        <v/>
      </c>
      <c r="AE25" s="312" t="str">
        <f t="shared" si="4"/>
        <v/>
      </c>
      <c r="AF25" s="313" t="str">
        <f t="shared" si="5"/>
        <v/>
      </c>
      <c r="AG25" s="314" t="str">
        <f t="shared" si="6"/>
        <v/>
      </c>
      <c r="AH25" s="61" t="str">
        <f>IF(T25="","",VLOOKUP(T25,'11. Lists'!$B$47:$D$49,3,FALSE))</f>
        <v/>
      </c>
      <c r="AI25" s="351" t="str">
        <f>IF(D25="","",VLOOKUP(D25,'10. Condition and Temporal'!$B$6:$L$103,4,FALSE))</f>
        <v/>
      </c>
      <c r="AJ25" s="469" t="str">
        <v>1</v>
      </c>
      <c r="AK25" s="200" t="str">
        <v>1</v>
      </c>
      <c r="AL25" s="200"/>
      <c r="AM25" s="200"/>
      <c r="AN25" s="429"/>
      <c r="AR25" s="200" t="str">
        <f t="shared" si="7"/>
        <v/>
      </c>
    </row>
    <row r="26" spans="2:44" s="97" customFormat="1" ht="15.45" customHeight="1" x14ac:dyDescent="0.3">
      <c r="B26" s="286">
        <v>16</v>
      </c>
      <c r="C26" s="183" t="s">
        <v>263</v>
      </c>
      <c r="D26" s="733"/>
      <c r="E26" s="733"/>
      <c r="F26" s="964"/>
      <c r="G26" s="964"/>
      <c r="H26" s="964"/>
      <c r="I26" s="466"/>
      <c r="J26" s="320"/>
      <c r="K26" s="321"/>
      <c r="L26" s="24" t="str">
        <f t="shared" si="0"/>
        <v/>
      </c>
      <c r="M26" s="315" t="str">
        <f t="shared" si="1"/>
        <v/>
      </c>
      <c r="N26" s="24" t="str">
        <f t="shared" si="2"/>
        <v/>
      </c>
      <c r="O26" s="130"/>
      <c r="P26" s="81"/>
      <c r="R26" s="649"/>
      <c r="T26" s="785" t="str">
        <f>IF(D26="","",VLOOKUP(D26,'9. All Habitats + Multipliers'!$C$4:$K$102,5,FALSE))</f>
        <v/>
      </c>
      <c r="U26" s="786"/>
      <c r="V26" s="149" t="str">
        <f>IF(T26="","",VLOOKUP(T26,'11. Lists'!$B$47:$D$49,2,FALSE))</f>
        <v/>
      </c>
      <c r="W26" s="61" t="str">
        <f>IF(D26="","",VLOOKUP(D26,'10. Condition and Temporal'!$B$6:$C$103,2,FALSE))</f>
        <v/>
      </c>
      <c r="X26" s="149" t="str">
        <f>IF(W26="","",VLOOKUP(W26,'11. Lists'!$F$47:$G$51,2,FALSE))</f>
        <v/>
      </c>
      <c r="Y26" s="372"/>
      <c r="Z26" s="350"/>
      <c r="AA26" s="370"/>
      <c r="AB26" s="60" t="str">
        <f t="shared" si="3"/>
        <v/>
      </c>
      <c r="AC26" s="60" t="str">
        <f>IF(AB26="","",VLOOKUP(AB26,'11. Lists'!$F$36:$H$38,2,FALSE))</f>
        <v/>
      </c>
      <c r="AD26" s="148" t="str">
        <f>IF(AB26="","",VLOOKUP(AB26,'11. Lists'!$F$36:$H$38,3,FALSE))</f>
        <v/>
      </c>
      <c r="AE26" s="312" t="str">
        <f t="shared" si="4"/>
        <v/>
      </c>
      <c r="AF26" s="313" t="str">
        <f t="shared" si="5"/>
        <v/>
      </c>
      <c r="AG26" s="314" t="str">
        <f t="shared" si="6"/>
        <v/>
      </c>
      <c r="AH26" s="61" t="str">
        <f>IF(T26="","",VLOOKUP(T26,'11. Lists'!$B$47:$D$49,3,FALSE))</f>
        <v/>
      </c>
      <c r="AI26" s="351" t="str">
        <f>IF(D26="","",VLOOKUP(D26,'10. Condition and Temporal'!$B$6:$L$103,4,FALSE))</f>
        <v/>
      </c>
      <c r="AJ26" s="469" t="str">
        <v>1</v>
      </c>
      <c r="AK26" s="200" t="str">
        <v>1</v>
      </c>
      <c r="AL26" s="200"/>
      <c r="AM26" s="200"/>
      <c r="AN26" s="429"/>
      <c r="AR26" s="200" t="str">
        <f t="shared" si="7"/>
        <v/>
      </c>
    </row>
    <row r="27" spans="2:44" s="97" customFormat="1" ht="15.45" customHeight="1" x14ac:dyDescent="0.3">
      <c r="B27" s="286">
        <v>17</v>
      </c>
      <c r="C27" s="183" t="s">
        <v>263</v>
      </c>
      <c r="D27" s="733"/>
      <c r="E27" s="733"/>
      <c r="F27" s="964"/>
      <c r="G27" s="964"/>
      <c r="H27" s="964"/>
      <c r="I27" s="466"/>
      <c r="J27" s="320"/>
      <c r="K27" s="321"/>
      <c r="L27" s="24" t="str">
        <f t="shared" si="0"/>
        <v/>
      </c>
      <c r="M27" s="315" t="str">
        <f t="shared" si="1"/>
        <v/>
      </c>
      <c r="N27" s="24" t="str">
        <f t="shared" si="2"/>
        <v/>
      </c>
      <c r="O27" s="130"/>
      <c r="P27" s="81"/>
      <c r="R27" s="649"/>
      <c r="T27" s="785" t="str">
        <f>IF(D27="","",VLOOKUP(D27,'9. All Habitats + Multipliers'!$C$4:$K$102,5,FALSE))</f>
        <v/>
      </c>
      <c r="U27" s="786"/>
      <c r="V27" s="149" t="str">
        <f>IF(T27="","",VLOOKUP(T27,'11. Lists'!$B$47:$D$49,2,FALSE))</f>
        <v/>
      </c>
      <c r="W27" s="61" t="str">
        <f>IF(D27="","",VLOOKUP(D27,'10. Condition and Temporal'!$B$6:$C$103,2,FALSE))</f>
        <v/>
      </c>
      <c r="X27" s="149" t="str">
        <f>IF(W27="","",VLOOKUP(W27,'11. Lists'!$F$47:$G$51,2,FALSE))</f>
        <v/>
      </c>
      <c r="Y27" s="372"/>
      <c r="Z27" s="350"/>
      <c r="AA27" s="370"/>
      <c r="AB27" s="60" t="str">
        <f t="shared" si="3"/>
        <v/>
      </c>
      <c r="AC27" s="60" t="str">
        <f>IF(AB27="","",VLOOKUP(AB27,'11. Lists'!$F$36:$H$38,2,FALSE))</f>
        <v/>
      </c>
      <c r="AD27" s="148" t="str">
        <f>IF(AB27="","",VLOOKUP(AB27,'11. Lists'!$F$36:$H$38,3,FALSE))</f>
        <v/>
      </c>
      <c r="AE27" s="312" t="str">
        <f t="shared" si="4"/>
        <v/>
      </c>
      <c r="AF27" s="313" t="str">
        <f t="shared" si="5"/>
        <v/>
      </c>
      <c r="AG27" s="314" t="str">
        <f t="shared" si="6"/>
        <v/>
      </c>
      <c r="AH27" s="61" t="str">
        <f>IF(T27="","",VLOOKUP(T27,'11. Lists'!$B$47:$D$49,3,FALSE))</f>
        <v/>
      </c>
      <c r="AI27" s="351" t="str">
        <f>IF(D27="","",VLOOKUP(D27,'10. Condition and Temporal'!$B$6:$L$103,4,FALSE))</f>
        <v/>
      </c>
      <c r="AJ27" s="469" t="str">
        <v>1</v>
      </c>
      <c r="AK27" s="200" t="str">
        <v>1</v>
      </c>
      <c r="AL27" s="200"/>
      <c r="AM27" s="200"/>
      <c r="AN27" s="429"/>
      <c r="AR27" s="200" t="str">
        <f t="shared" si="7"/>
        <v/>
      </c>
    </row>
    <row r="28" spans="2:44" s="97" customFormat="1" ht="15.45" customHeight="1" x14ac:dyDescent="0.3">
      <c r="B28" s="286">
        <v>18</v>
      </c>
      <c r="C28" s="183" t="s">
        <v>263</v>
      </c>
      <c r="D28" s="733"/>
      <c r="E28" s="733"/>
      <c r="F28" s="964"/>
      <c r="G28" s="964"/>
      <c r="H28" s="964"/>
      <c r="I28" s="466"/>
      <c r="J28" s="320"/>
      <c r="K28" s="321"/>
      <c r="L28" s="24" t="str">
        <f t="shared" si="0"/>
        <v/>
      </c>
      <c r="M28" s="315" t="str">
        <f t="shared" si="1"/>
        <v/>
      </c>
      <c r="N28" s="24" t="str">
        <f t="shared" si="2"/>
        <v/>
      </c>
      <c r="O28" s="130"/>
      <c r="P28" s="81"/>
      <c r="R28" s="649"/>
      <c r="T28" s="785" t="str">
        <f>IF(D28="","",VLOOKUP(D28,'9. All Habitats + Multipliers'!$C$4:$K$102,5,FALSE))</f>
        <v/>
      </c>
      <c r="U28" s="786"/>
      <c r="V28" s="149" t="str">
        <f>IF(T28="","",VLOOKUP(T28,'11. Lists'!$B$47:$D$49,2,FALSE))</f>
        <v/>
      </c>
      <c r="W28" s="61" t="str">
        <f>IF(D28="","",VLOOKUP(D28,'10. Condition and Temporal'!$B$6:$C$103,2,FALSE))</f>
        <v/>
      </c>
      <c r="X28" s="149" t="str">
        <f>IF(W28="","",VLOOKUP(W28,'11. Lists'!$F$47:$G$51,2,FALSE))</f>
        <v/>
      </c>
      <c r="Y28" s="372"/>
      <c r="Z28" s="350"/>
      <c r="AA28" s="370"/>
      <c r="AB28" s="60" t="str">
        <f t="shared" si="3"/>
        <v/>
      </c>
      <c r="AC28" s="60" t="str">
        <f>IF(AB28="","",VLOOKUP(AB28,'11. Lists'!$F$36:$H$38,2,FALSE))</f>
        <v/>
      </c>
      <c r="AD28" s="148" t="str">
        <f>IF(AB28="","",VLOOKUP(AB28,'11. Lists'!$F$36:$H$38,3,FALSE))</f>
        <v/>
      </c>
      <c r="AE28" s="312" t="str">
        <f t="shared" si="4"/>
        <v/>
      </c>
      <c r="AF28" s="313" t="str">
        <f t="shared" si="5"/>
        <v/>
      </c>
      <c r="AG28" s="314" t="str">
        <f t="shared" si="6"/>
        <v/>
      </c>
      <c r="AH28" s="61" t="str">
        <f>IF(T28="","",VLOOKUP(T28,'11. Lists'!$B$47:$D$49,3,FALSE))</f>
        <v/>
      </c>
      <c r="AI28" s="351" t="str">
        <f>IF(D28="","",VLOOKUP(D28,'10. Condition and Temporal'!$B$6:$L$103,4,FALSE))</f>
        <v/>
      </c>
      <c r="AJ28" s="469" t="str">
        <v>1</v>
      </c>
      <c r="AK28" s="200" t="str">
        <v>1</v>
      </c>
      <c r="AL28" s="200"/>
      <c r="AM28" s="200"/>
      <c r="AN28" s="429"/>
      <c r="AR28" s="200" t="str">
        <f t="shared" si="7"/>
        <v/>
      </c>
    </row>
    <row r="29" spans="2:44" s="97" customFormat="1" ht="15.45" customHeight="1" x14ac:dyDescent="0.3">
      <c r="B29" s="286">
        <v>19</v>
      </c>
      <c r="C29" s="183" t="s">
        <v>263</v>
      </c>
      <c r="D29" s="733"/>
      <c r="E29" s="733"/>
      <c r="F29" s="964"/>
      <c r="G29" s="964"/>
      <c r="H29" s="964"/>
      <c r="I29" s="466"/>
      <c r="J29" s="320"/>
      <c r="K29" s="321"/>
      <c r="L29" s="24" t="str">
        <f t="shared" si="0"/>
        <v/>
      </c>
      <c r="M29" s="315" t="str">
        <f t="shared" si="1"/>
        <v/>
      </c>
      <c r="N29" s="24" t="str">
        <f t="shared" si="2"/>
        <v/>
      </c>
      <c r="O29" s="130"/>
      <c r="P29" s="81"/>
      <c r="R29" s="649"/>
      <c r="T29" s="785" t="str">
        <f>IF(D29="","",VLOOKUP(D29,'9. All Habitats + Multipliers'!$C$4:$K$102,5,FALSE))</f>
        <v/>
      </c>
      <c r="U29" s="786"/>
      <c r="V29" s="149" t="str">
        <f>IF(T29="","",VLOOKUP(T29,'11. Lists'!$B$47:$D$49,2,FALSE))</f>
        <v/>
      </c>
      <c r="W29" s="61" t="str">
        <f>IF(D29="","",VLOOKUP(D29,'10. Condition and Temporal'!$B$6:$C$103,2,FALSE))</f>
        <v/>
      </c>
      <c r="X29" s="149" t="str">
        <f>IF(W29="","",VLOOKUP(W29,'11. Lists'!$F$47:$G$51,2,FALSE))</f>
        <v/>
      </c>
      <c r="Y29" s="372"/>
      <c r="Z29" s="350"/>
      <c r="AA29" s="370"/>
      <c r="AB29" s="60" t="str">
        <f t="shared" si="3"/>
        <v/>
      </c>
      <c r="AC29" s="60" t="str">
        <f>IF(AB29="","",VLOOKUP(AB29,'11. Lists'!$F$36:$H$38,2,FALSE))</f>
        <v/>
      </c>
      <c r="AD29" s="148" t="str">
        <f>IF(AB29="","",VLOOKUP(AB29,'11. Lists'!$F$36:$H$38,3,FALSE))</f>
        <v/>
      </c>
      <c r="AE29" s="312" t="str">
        <f t="shared" si="4"/>
        <v/>
      </c>
      <c r="AF29" s="313" t="str">
        <f t="shared" si="5"/>
        <v/>
      </c>
      <c r="AG29" s="314" t="str">
        <f t="shared" si="6"/>
        <v/>
      </c>
      <c r="AH29" s="61" t="str">
        <f>IF(T29="","",VLOOKUP(T29,'11. Lists'!$B$47:$D$49,3,FALSE))</f>
        <v/>
      </c>
      <c r="AI29" s="351" t="str">
        <f>IF(D29="","",VLOOKUP(D29,'10. Condition and Temporal'!$B$6:$L$103,4,FALSE))</f>
        <v/>
      </c>
      <c r="AJ29" s="469" t="str">
        <v>1</v>
      </c>
      <c r="AK29" s="200" t="str">
        <v>1</v>
      </c>
      <c r="AL29" s="200"/>
      <c r="AM29" s="200"/>
      <c r="AN29" s="429"/>
      <c r="AR29" s="200" t="str">
        <f t="shared" si="7"/>
        <v/>
      </c>
    </row>
    <row r="30" spans="2:44" s="97" customFormat="1" ht="16.5" customHeight="1" x14ac:dyDescent="0.3">
      <c r="B30" s="287">
        <v>20</v>
      </c>
      <c r="C30" s="187" t="s">
        <v>263</v>
      </c>
      <c r="D30" s="739"/>
      <c r="E30" s="739"/>
      <c r="F30" s="965"/>
      <c r="G30" s="965"/>
      <c r="H30" s="965"/>
      <c r="I30" s="467"/>
      <c r="J30" s="323"/>
      <c r="K30" s="324"/>
      <c r="L30" s="19" t="str">
        <f t="shared" si="0"/>
        <v/>
      </c>
      <c r="M30" s="329" t="str">
        <f t="shared" si="1"/>
        <v/>
      </c>
      <c r="N30" s="19" t="str">
        <f t="shared" si="2"/>
        <v/>
      </c>
      <c r="O30" s="132"/>
      <c r="P30" s="78"/>
      <c r="R30" s="649"/>
      <c r="T30" s="794" t="str">
        <f>IF(D30="","",VLOOKUP(D30,'9. All Habitats + Multipliers'!$C$4:$K$102,5,FALSE))</f>
        <v/>
      </c>
      <c r="U30" s="795"/>
      <c r="V30" s="149" t="str">
        <f>IF(T30="","",VLOOKUP(T30,'11. Lists'!$B$47:$D$49,2,FALSE))</f>
        <v/>
      </c>
      <c r="W30" s="57" t="str">
        <f>IF(D30="","",VLOOKUP(D30,'10. Condition and Temporal'!$B$6:$C$103,2,FALSE))</f>
        <v/>
      </c>
      <c r="X30" s="153" t="str">
        <f>IF(W30="","",VLOOKUP(W30,'11. Lists'!$F$47:$G$51,2,FALSE))</f>
        <v/>
      </c>
      <c r="Y30" s="372"/>
      <c r="Z30" s="350"/>
      <c r="AA30" s="370"/>
      <c r="AB30" s="60" t="str">
        <f t="shared" si="3"/>
        <v/>
      </c>
      <c r="AC30" s="60" t="str">
        <f>IF(AB30="","",VLOOKUP(AB30,'11. Lists'!$F$36:$H$38,2,FALSE))</f>
        <v/>
      </c>
      <c r="AD30" s="148" t="str">
        <f>IF(AB30="","",VLOOKUP(AB30,'11. Lists'!$F$36:$H$38,3,FALSE))</f>
        <v/>
      </c>
      <c r="AE30" s="312" t="str">
        <f t="shared" si="4"/>
        <v/>
      </c>
      <c r="AF30" s="313" t="str">
        <f t="shared" si="5"/>
        <v/>
      </c>
      <c r="AG30" s="314" t="str">
        <f t="shared" si="6"/>
        <v/>
      </c>
      <c r="AH30" s="61" t="str">
        <f>IF(T30="","",VLOOKUP(T30,'11. Lists'!$B$47:$D$49,3,FALSE))</f>
        <v/>
      </c>
      <c r="AI30" s="351" t="str">
        <f>IF(D30="","",VLOOKUP(D30,'10. Condition and Temporal'!$B$6:$L$103,4,FALSE))</f>
        <v/>
      </c>
      <c r="AJ30" s="469" t="str">
        <v>1</v>
      </c>
      <c r="AK30" s="200" t="str">
        <v>1</v>
      </c>
      <c r="AL30" s="200"/>
      <c r="AM30" s="200"/>
      <c r="AN30" s="429"/>
      <c r="AR30" s="200" t="str">
        <f t="shared" si="7"/>
        <v/>
      </c>
    </row>
    <row r="31" spans="2:44" s="97" customFormat="1" x14ac:dyDescent="0.3">
      <c r="D31" s="147"/>
      <c r="E31" s="32"/>
      <c r="F31" s="32"/>
      <c r="G31" s="32"/>
      <c r="H31" s="468" t="s">
        <v>238</v>
      </c>
      <c r="I31" s="340">
        <f t="shared" ref="I31:N31" si="8">SUM(I11:I30)</f>
        <v>0</v>
      </c>
      <c r="J31" s="341">
        <f t="shared" si="8"/>
        <v>0</v>
      </c>
      <c r="K31" s="342">
        <f t="shared" si="8"/>
        <v>0</v>
      </c>
      <c r="L31" s="305">
        <f t="shared" si="8"/>
        <v>0</v>
      </c>
      <c r="M31" s="330">
        <f t="shared" si="8"/>
        <v>0</v>
      </c>
      <c r="N31" s="46">
        <f t="shared" si="8"/>
        <v>0</v>
      </c>
      <c r="R31" s="649"/>
      <c r="AJ31" s="200"/>
      <c r="AK31" s="200"/>
      <c r="AL31" s="200"/>
      <c r="AM31" s="200"/>
      <c r="AN31" s="200"/>
      <c r="AR31" s="200"/>
    </row>
    <row r="32" spans="2:44" s="97" customFormat="1" x14ac:dyDescent="0.3">
      <c r="D32" s="147"/>
      <c r="E32" s="32"/>
      <c r="F32" s="32"/>
      <c r="G32" s="32"/>
      <c r="H32" s="310" t="s">
        <v>108</v>
      </c>
      <c r="I32" s="908" t="str">
        <f>IF(I31&lt;J31+K31,"Error - Lengths Retained and Enhanced Exceed Total Length ▲","Lengths Acceptable ✓")</f>
        <v>Lengths Acceptable ✓</v>
      </c>
      <c r="J32" s="908"/>
      <c r="K32" s="908"/>
      <c r="L32" s="908"/>
      <c r="M32" s="908"/>
      <c r="N32" s="909"/>
      <c r="O32" s="200">
        <f>IFERROR(FIND("Error",#REF!),0)</f>
        <v>0</v>
      </c>
      <c r="R32" s="72"/>
      <c r="AJ32" s="200"/>
      <c r="AK32" s="200"/>
      <c r="AL32" s="200"/>
      <c r="AM32" s="200"/>
      <c r="AN32" s="200"/>
      <c r="AR32" s="200"/>
    </row>
    <row r="33" spans="2:44" s="97" customFormat="1" ht="15" customHeight="1" x14ac:dyDescent="0.3">
      <c r="D33" s="147"/>
      <c r="E33" s="32"/>
      <c r="F33" s="32"/>
      <c r="G33" s="32"/>
      <c r="H33" s="294" t="s">
        <v>108</v>
      </c>
      <c r="I33" s="966" t="str">
        <f>IF(I31&lt;5000,"Lengths Acceptable ✓",IF(I31&gt;=5000,"Length Exceeds Length Appropriate for Small Sites Metric ▲"))</f>
        <v>Lengths Acceptable ✓</v>
      </c>
      <c r="J33" s="890"/>
      <c r="K33" s="890"/>
      <c r="L33" s="890"/>
      <c r="M33" s="890"/>
      <c r="N33" s="891"/>
      <c r="O33" s="200">
        <f>COUNTIF(L11:N30,"*"&amp;"error"&amp;"*")</f>
        <v>0</v>
      </c>
      <c r="R33" s="72"/>
      <c r="AJ33" s="200"/>
      <c r="AK33" s="200"/>
      <c r="AL33" s="200"/>
      <c r="AM33" s="200"/>
      <c r="AN33" s="200"/>
      <c r="AR33" s="200"/>
    </row>
    <row r="34" spans="2:44" s="97" customFormat="1" x14ac:dyDescent="0.3">
      <c r="D34" s="147"/>
      <c r="E34" s="32"/>
      <c r="F34" s="32"/>
      <c r="G34" s="32"/>
      <c r="H34" s="32"/>
      <c r="I34" s="32"/>
      <c r="J34" s="32"/>
      <c r="K34" s="32"/>
      <c r="L34" s="32"/>
      <c r="M34" s="32"/>
      <c r="N34" s="32"/>
      <c r="O34" s="98"/>
      <c r="R34" s="649" t="s">
        <v>66</v>
      </c>
      <c r="AJ34" s="200"/>
      <c r="AK34" s="200"/>
      <c r="AL34" s="200"/>
      <c r="AM34" s="200"/>
      <c r="AN34" s="200"/>
      <c r="AR34" s="200"/>
    </row>
    <row r="35" spans="2:44" s="97" customFormat="1" ht="21" customHeight="1" x14ac:dyDescent="0.4">
      <c r="B35" s="119" t="s">
        <v>111</v>
      </c>
      <c r="D35" s="146"/>
      <c r="E35" s="32"/>
      <c r="F35" s="32"/>
      <c r="G35" s="32"/>
      <c r="I35" s="98"/>
      <c r="R35" s="649"/>
      <c r="AJ35" s="200"/>
      <c r="AK35" s="200"/>
      <c r="AL35" s="200"/>
      <c r="AM35" s="200"/>
      <c r="AN35" s="200"/>
      <c r="AR35" s="200"/>
    </row>
    <row r="36" spans="2:44" s="97" customFormat="1" ht="15.75" customHeight="1" x14ac:dyDescent="0.3">
      <c r="R36" s="649"/>
      <c r="AJ36" s="200"/>
      <c r="AK36" s="200"/>
      <c r="AL36" s="200"/>
      <c r="AM36" s="200"/>
      <c r="AN36" s="200"/>
      <c r="AR36" s="200"/>
    </row>
    <row r="37" spans="2:44" s="97" customFormat="1" ht="16.2" customHeight="1" x14ac:dyDescent="0.3">
      <c r="B37" s="804" t="s">
        <v>59</v>
      </c>
      <c r="C37" s="766"/>
      <c r="D37" s="805"/>
      <c r="E37" s="765" t="s">
        <v>112</v>
      </c>
      <c r="F37" s="806"/>
      <c r="G37" s="767"/>
      <c r="H37" s="806" t="s">
        <v>113</v>
      </c>
      <c r="I37" s="715" t="s">
        <v>239</v>
      </c>
      <c r="J37" s="807"/>
      <c r="K37" s="807"/>
      <c r="L37" s="765" t="s">
        <v>264</v>
      </c>
      <c r="M37" s="766"/>
      <c r="N37" s="767"/>
      <c r="O37" s="809" t="s">
        <v>79</v>
      </c>
      <c r="P37" s="767"/>
      <c r="R37" s="649"/>
      <c r="T37" s="967" t="s">
        <v>80</v>
      </c>
      <c r="U37" s="968"/>
      <c r="V37" s="969"/>
      <c r="W37" s="952" t="s">
        <v>81</v>
      </c>
      <c r="X37" s="953"/>
      <c r="Y37" s="797"/>
      <c r="Z37" s="797"/>
      <c r="AA37" s="797"/>
      <c r="AB37" s="952" t="s">
        <v>82</v>
      </c>
      <c r="AC37" s="954"/>
      <c r="AD37" s="953"/>
      <c r="AE37" s="955" t="s">
        <v>116</v>
      </c>
      <c r="AF37" s="956"/>
      <c r="AG37" s="955" t="s">
        <v>117</v>
      </c>
      <c r="AH37" s="956"/>
      <c r="AI37" s="957" t="s">
        <v>265</v>
      </c>
      <c r="AJ37" s="200"/>
      <c r="AK37" s="200"/>
      <c r="AL37" s="200"/>
      <c r="AM37" s="200"/>
      <c r="AN37" s="200"/>
      <c r="AR37" s="200"/>
    </row>
    <row r="38" spans="2:44" s="97" customFormat="1" ht="31.8" customHeight="1" x14ac:dyDescent="0.3">
      <c r="B38" s="728"/>
      <c r="C38" s="54" t="s">
        <v>86</v>
      </c>
      <c r="D38" s="53" t="s">
        <v>118</v>
      </c>
      <c r="E38" s="144" t="s">
        <v>119</v>
      </c>
      <c r="F38" s="731" t="s">
        <v>120</v>
      </c>
      <c r="G38" s="732"/>
      <c r="H38" s="729"/>
      <c r="I38" s="717"/>
      <c r="J38" s="808"/>
      <c r="K38" s="808"/>
      <c r="L38" s="910"/>
      <c r="M38" s="911"/>
      <c r="N38" s="912"/>
      <c r="O38" s="55" t="s">
        <v>94</v>
      </c>
      <c r="P38" s="42" t="s">
        <v>95</v>
      </c>
      <c r="R38" s="649"/>
      <c r="T38" s="955" t="s">
        <v>96</v>
      </c>
      <c r="U38" s="959"/>
      <c r="V38" s="26" t="s">
        <v>97</v>
      </c>
      <c r="W38" s="31" t="s">
        <v>98</v>
      </c>
      <c r="X38" s="30" t="s">
        <v>97</v>
      </c>
      <c r="Y38" s="371"/>
      <c r="Z38" s="366"/>
      <c r="AA38" s="517"/>
      <c r="AB38" s="31" t="s">
        <v>82</v>
      </c>
      <c r="AC38" s="29" t="s">
        <v>82</v>
      </c>
      <c r="AD38" s="30" t="s">
        <v>99</v>
      </c>
      <c r="AE38" s="31" t="s">
        <v>121</v>
      </c>
      <c r="AF38" s="30" t="s">
        <v>122</v>
      </c>
      <c r="AG38" s="31" t="s">
        <v>123</v>
      </c>
      <c r="AH38" s="30" t="s">
        <v>124</v>
      </c>
      <c r="AI38" s="958"/>
      <c r="AJ38" s="200"/>
      <c r="AK38" s="200"/>
      <c r="AL38" s="200"/>
      <c r="AM38" s="200"/>
      <c r="AN38" s="200"/>
      <c r="AR38" s="200"/>
    </row>
    <row r="39" spans="2:44" s="97" customFormat="1" ht="15.45" customHeight="1" x14ac:dyDescent="0.3">
      <c r="B39" s="292">
        <v>1</v>
      </c>
      <c r="C39" s="184" t="s">
        <v>263</v>
      </c>
      <c r="D39" s="41"/>
      <c r="E39" s="185" t="str">
        <f>IF(D39="","",VLOOKUP(D39,'10. Condition and Temporal'!$B$6:$D$103,3,FALSE))</f>
        <v/>
      </c>
      <c r="F39" s="800"/>
      <c r="G39" s="801"/>
      <c r="H39" s="40"/>
      <c r="I39" s="962"/>
      <c r="J39" s="963"/>
      <c r="K39" s="963"/>
      <c r="L39" s="946" t="str">
        <f t="shared" ref="L39:L58" si="9">IF(D39="","",IFERROR(IF(I39="","",((I39/1000)*(V39*X39))*(AH39*AF39)*AD39*AI39),"This intervention is not permitted within the SSM ▲"))</f>
        <v/>
      </c>
      <c r="M39" s="927"/>
      <c r="N39" s="928"/>
      <c r="O39" s="247"/>
      <c r="P39" s="186"/>
      <c r="Q39" s="155"/>
      <c r="R39" s="649"/>
      <c r="T39" s="960" t="str">
        <f>IF(D39="","",VLOOKUP(D39,'9. All Habitats + Multipliers'!$C$4:$K$102,5,FALSE))</f>
        <v/>
      </c>
      <c r="U39" s="961"/>
      <c r="V39" s="364" t="str">
        <f>IF(T39="","",VLOOKUP(T39,'11. Lists'!$B$47:$D$49,2,FALSE))</f>
        <v/>
      </c>
      <c r="W39" s="22" t="str">
        <f t="shared" ref="W39:W58" si="10">IF(F39="","",F39)</f>
        <v/>
      </c>
      <c r="X39" s="364" t="str">
        <f>IF(W39="","",VLOOKUP(W39,'11. Lists'!$F$47:$G$51,2,FALSE))</f>
        <v/>
      </c>
      <c r="Y39" s="372"/>
      <c r="Z39" s="350"/>
      <c r="AA39" s="499"/>
      <c r="AB39" s="159" t="str">
        <f t="shared" ref="AB39:AB58" si="11">IF(H39="","",H39)</f>
        <v/>
      </c>
      <c r="AC39" s="161" t="str">
        <f>IF(AB39="","",VLOOKUP(AB39,'11. Lists'!$F$36:$H$38,2,FALSE))</f>
        <v/>
      </c>
      <c r="AD39" s="160" t="str">
        <f>IF(AB39="","",VLOOKUP(AB39,'11. Lists'!$F$36:$H$38,3,FALSE))</f>
        <v/>
      </c>
      <c r="AE39" s="22"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511" t="str">
        <f>IF(AE39="","",VLOOKUP(AE39,'11. Lists'!$I$47:$K$80,3,FALSE))</f>
        <v/>
      </c>
      <c r="AG39" s="22" t="str">
        <f>IF(D39="","",VLOOKUP(D39,'9. All Habitats + Multipliers'!$C$4:$K$102,7,FALSE))</f>
        <v/>
      </c>
      <c r="AH39" s="364" t="str">
        <f>IF(AG39="","",VLOOKUP(AG39,'11. Lists'!$J$35:$K$38,2,FALSE))</f>
        <v/>
      </c>
      <c r="AI39" s="518" t="str" cm="1">
        <f t="array" ref="AI39:AI58">IF($D$39:$D$58="Culvert","0.68","1")</f>
        <v>1</v>
      </c>
      <c r="AJ39" s="200"/>
      <c r="AK39" s="200"/>
      <c r="AL39" s="200"/>
      <c r="AM39" s="200"/>
      <c r="AN39" s="200"/>
      <c r="AR39" s="200"/>
    </row>
    <row r="40" spans="2:44" s="97" customFormat="1" ht="15.45" customHeight="1" x14ac:dyDescent="0.3">
      <c r="B40" s="286">
        <v>2</v>
      </c>
      <c r="C40" s="183" t="s">
        <v>263</v>
      </c>
      <c r="D40" s="63"/>
      <c r="E40" s="154" t="str">
        <f>IF(D40="","",VLOOKUP(D40,'10. Condition and Temporal'!$B$6:$D$103,3,FALSE))</f>
        <v/>
      </c>
      <c r="F40" s="778"/>
      <c r="G40" s="779"/>
      <c r="H40" s="39"/>
      <c r="I40" s="780"/>
      <c r="J40" s="781"/>
      <c r="K40" s="781"/>
      <c r="L40" s="946" t="str">
        <f t="shared" si="9"/>
        <v/>
      </c>
      <c r="M40" s="927"/>
      <c r="N40" s="928"/>
      <c r="O40" s="133"/>
      <c r="P40" s="85"/>
      <c r="Q40" s="155"/>
      <c r="R40" s="649"/>
      <c r="T40" s="785" t="str">
        <f>IF(D40="","",VLOOKUP(D40,'9. All Habitats + Multipliers'!$C$4:$K$102,5,FALSE))</f>
        <v/>
      </c>
      <c r="U40" s="786"/>
      <c r="V40" s="148" t="str">
        <f>IF(T40="","",VLOOKUP(T40,'11. Lists'!$B$47:$D$49,2,FALSE))</f>
        <v/>
      </c>
      <c r="W40" s="61" t="str">
        <f t="shared" si="10"/>
        <v/>
      </c>
      <c r="X40" s="148" t="str">
        <f>IF(W40="","",VLOOKUP(W40,'11. Lists'!$F$47:$G$51,2,FALSE))</f>
        <v/>
      </c>
      <c r="Y40" s="372"/>
      <c r="Z40" s="350"/>
      <c r="AA40" s="499"/>
      <c r="AB40" s="61" t="str">
        <f t="shared" si="11"/>
        <v/>
      </c>
      <c r="AC40" s="60" t="str">
        <f>IF(AB40="","",VLOOKUP(AB40,'11. Lists'!$F$36:$H$38,2,FALSE))</f>
        <v/>
      </c>
      <c r="AD40" s="148" t="str">
        <f>IF(AB40="","",VLOOKUP(AB40,'11. Lists'!$F$36:$H$38,3,FALSE))</f>
        <v/>
      </c>
      <c r="AE40" s="61"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56" t="str">
        <f>IF(AE40="","",VLOOKUP(AE40,'11. Lists'!$I$47:$K$80,3,FALSE))</f>
        <v/>
      </c>
      <c r="AG40" s="61" t="str">
        <f>IF(D40="","",VLOOKUP(D40,'9. All Habitats + Multipliers'!$C$4:$K$102,7,FALSE))</f>
        <v/>
      </c>
      <c r="AH40" s="148" t="str">
        <f>IF(AG40="","",VLOOKUP(AG40,'11. Lists'!$J$35:$K$38,2,FALSE))</f>
        <v/>
      </c>
      <c r="AI40" s="476" t="str">
        <v>1</v>
      </c>
      <c r="AJ40" s="200"/>
      <c r="AK40" s="200"/>
      <c r="AL40" s="200"/>
      <c r="AM40" s="200"/>
      <c r="AN40" s="200"/>
      <c r="AR40" s="200"/>
    </row>
    <row r="41" spans="2:44" s="97" customFormat="1" ht="15.45" customHeight="1" x14ac:dyDescent="0.3">
      <c r="B41" s="286">
        <v>3</v>
      </c>
      <c r="C41" s="183" t="s">
        <v>263</v>
      </c>
      <c r="D41" s="63"/>
      <c r="E41" s="154" t="str">
        <f>IF(D41="","",VLOOKUP(D41,'10. Condition and Temporal'!$B$6:$D$103,3,FALSE))</f>
        <v/>
      </c>
      <c r="F41" s="778"/>
      <c r="G41" s="779"/>
      <c r="H41" s="39"/>
      <c r="I41" s="780"/>
      <c r="J41" s="781"/>
      <c r="K41" s="781"/>
      <c r="L41" s="946" t="str">
        <f t="shared" si="9"/>
        <v/>
      </c>
      <c r="M41" s="927"/>
      <c r="N41" s="928"/>
      <c r="O41" s="133"/>
      <c r="P41" s="85"/>
      <c r="Q41" s="155"/>
      <c r="R41" s="649"/>
      <c r="T41" s="785" t="str">
        <f>IF(D41="","",VLOOKUP(D41,'9. All Habitats + Multipliers'!$C$4:$K$102,5,FALSE))</f>
        <v/>
      </c>
      <c r="U41" s="786"/>
      <c r="V41" s="148" t="str">
        <f>IF(T41="","",VLOOKUP(T41,'11. Lists'!$B$47:$D$49,2,FALSE))</f>
        <v/>
      </c>
      <c r="W41" s="61" t="str">
        <f t="shared" si="10"/>
        <v/>
      </c>
      <c r="X41" s="148" t="str">
        <f>IF(W41="","",VLOOKUP(W41,'11. Lists'!$F$47:$G$51,2,FALSE))</f>
        <v/>
      </c>
      <c r="Y41" s="372"/>
      <c r="Z41" s="350"/>
      <c r="AA41" s="499"/>
      <c r="AB41" s="61" t="str">
        <f t="shared" si="11"/>
        <v/>
      </c>
      <c r="AC41" s="60" t="str">
        <f>IF(AB41="","",VLOOKUP(AB41,'11. Lists'!$F$36:$H$38,2,FALSE))</f>
        <v/>
      </c>
      <c r="AD41" s="148" t="str">
        <f>IF(AB41="","",VLOOKUP(AB41,'11. Lists'!$F$36:$H$38,3,FALSE))</f>
        <v/>
      </c>
      <c r="AE41" s="61"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56" t="str">
        <f>IF(AE41="","",VLOOKUP(AE41,'11. Lists'!$I$47:$K$80,3,FALSE))</f>
        <v/>
      </c>
      <c r="AG41" s="61" t="str">
        <f>IF(D41="","",VLOOKUP(D41,'9. All Habitats + Multipliers'!$C$4:$K$102,7,FALSE))</f>
        <v/>
      </c>
      <c r="AH41" s="148" t="str">
        <f>IF(AG41="","",VLOOKUP(AG41,'11. Lists'!$J$35:$K$38,2,FALSE))</f>
        <v/>
      </c>
      <c r="AI41" s="476" t="str">
        <v>1</v>
      </c>
      <c r="AJ41" s="200"/>
      <c r="AK41" s="200"/>
      <c r="AL41" s="200"/>
      <c r="AM41" s="200"/>
      <c r="AN41" s="200"/>
      <c r="AR41" s="200"/>
    </row>
    <row r="42" spans="2:44" s="97" customFormat="1" ht="15.45" customHeight="1" x14ac:dyDescent="0.3">
      <c r="B42" s="286">
        <v>4</v>
      </c>
      <c r="C42" s="183" t="s">
        <v>263</v>
      </c>
      <c r="D42" s="63"/>
      <c r="E42" s="154" t="str">
        <f>IF(D42="","",VLOOKUP(D42,'10. Condition and Temporal'!$B$6:$D$103,3,FALSE))</f>
        <v/>
      </c>
      <c r="F42" s="778"/>
      <c r="G42" s="779"/>
      <c r="H42" s="39"/>
      <c r="I42" s="780"/>
      <c r="J42" s="781"/>
      <c r="K42" s="781"/>
      <c r="L42" s="946" t="str">
        <f t="shared" si="9"/>
        <v/>
      </c>
      <c r="M42" s="927"/>
      <c r="N42" s="928"/>
      <c r="O42" s="133"/>
      <c r="P42" s="85"/>
      <c r="Q42" s="155"/>
      <c r="R42" s="649"/>
      <c r="T42" s="785" t="str">
        <f>IF(D42="","",VLOOKUP(D42,'9. All Habitats + Multipliers'!$C$4:$K$102,5,FALSE))</f>
        <v/>
      </c>
      <c r="U42" s="786"/>
      <c r="V42" s="148" t="str">
        <f>IF(T42="","",VLOOKUP(T42,'11. Lists'!$B$47:$D$49,2,FALSE))</f>
        <v/>
      </c>
      <c r="W42" s="61" t="str">
        <f t="shared" si="10"/>
        <v/>
      </c>
      <c r="X42" s="148" t="str">
        <f>IF(W42="","",VLOOKUP(W42,'11. Lists'!$F$47:$G$51,2,FALSE))</f>
        <v/>
      </c>
      <c r="Y42" s="372"/>
      <c r="Z42" s="350"/>
      <c r="AA42" s="499"/>
      <c r="AB42" s="61" t="str">
        <f t="shared" si="11"/>
        <v/>
      </c>
      <c r="AC42" s="60" t="str">
        <f>IF(AB42="","",VLOOKUP(AB42,'11. Lists'!$F$36:$H$38,2,FALSE))</f>
        <v/>
      </c>
      <c r="AD42" s="148" t="str">
        <f>IF(AB42="","",VLOOKUP(AB42,'11. Lists'!$F$36:$H$38,3,FALSE))</f>
        <v/>
      </c>
      <c r="AE42" s="61"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56" t="str">
        <f>IF(AE42="","",VLOOKUP(AE42,'11. Lists'!$I$47:$K$80,3,FALSE))</f>
        <v/>
      </c>
      <c r="AG42" s="61" t="str">
        <f>IF(D42="","",VLOOKUP(D42,'9. All Habitats + Multipliers'!$C$4:$K$102,7,FALSE))</f>
        <v/>
      </c>
      <c r="AH42" s="148" t="str">
        <f>IF(AG42="","",VLOOKUP(AG42,'11. Lists'!$J$35:$K$38,2,FALSE))</f>
        <v/>
      </c>
      <c r="AI42" s="476" t="str">
        <v>1</v>
      </c>
      <c r="AJ42" s="200"/>
      <c r="AK42" s="200"/>
      <c r="AL42" s="200"/>
      <c r="AM42" s="200"/>
      <c r="AN42" s="200"/>
      <c r="AR42" s="200"/>
    </row>
    <row r="43" spans="2:44" s="97" customFormat="1" ht="15.45" customHeight="1" x14ac:dyDescent="0.3">
      <c r="B43" s="286">
        <v>5</v>
      </c>
      <c r="C43" s="183" t="s">
        <v>263</v>
      </c>
      <c r="D43" s="63"/>
      <c r="E43" s="154" t="str">
        <f>IF(D43="","",VLOOKUP(D43,'10. Condition and Temporal'!$B$6:$D$103,3,FALSE))</f>
        <v/>
      </c>
      <c r="F43" s="778"/>
      <c r="G43" s="779"/>
      <c r="H43" s="39"/>
      <c r="I43" s="780"/>
      <c r="J43" s="781"/>
      <c r="K43" s="781"/>
      <c r="L43" s="946" t="str">
        <f t="shared" si="9"/>
        <v/>
      </c>
      <c r="M43" s="927"/>
      <c r="N43" s="928"/>
      <c r="O43" s="133"/>
      <c r="P43" s="85"/>
      <c r="R43" s="649"/>
      <c r="T43" s="785" t="str">
        <f>IF(D43="","",VLOOKUP(D43,'9. All Habitats + Multipliers'!$C$4:$K$102,5,FALSE))</f>
        <v/>
      </c>
      <c r="U43" s="786"/>
      <c r="V43" s="148" t="str">
        <f>IF(T43="","",VLOOKUP(T43,'11. Lists'!$B$47:$D$49,2,FALSE))</f>
        <v/>
      </c>
      <c r="W43" s="61" t="str">
        <f t="shared" si="10"/>
        <v/>
      </c>
      <c r="X43" s="148" t="str">
        <f>IF(W43="","",VLOOKUP(W43,'11. Lists'!$F$47:$G$51,2,FALSE))</f>
        <v/>
      </c>
      <c r="Y43" s="372"/>
      <c r="Z43" s="350"/>
      <c r="AA43" s="499"/>
      <c r="AB43" s="61" t="str">
        <f t="shared" si="11"/>
        <v/>
      </c>
      <c r="AC43" s="60" t="str">
        <f>IF(AB43="","",VLOOKUP(AB43,'11. Lists'!$F$36:$H$38,2,FALSE))</f>
        <v/>
      </c>
      <c r="AD43" s="148" t="str">
        <f>IF(AB43="","",VLOOKUP(AB43,'11. Lists'!$F$36:$H$38,3,FALSE))</f>
        <v/>
      </c>
      <c r="AE43" s="61"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56" t="str">
        <f>IF(AE43="","",VLOOKUP(AE43,'11. Lists'!$I$47:$K$80,3,FALSE))</f>
        <v/>
      </c>
      <c r="AG43" s="61" t="str">
        <f>IF(D43="","",VLOOKUP(D43,'9. All Habitats + Multipliers'!$C$4:$K$102,7,FALSE))</f>
        <v/>
      </c>
      <c r="AH43" s="148" t="str">
        <f>IF(AG43="","",VLOOKUP(AG43,'11. Lists'!$J$35:$K$38,2,FALSE))</f>
        <v/>
      </c>
      <c r="AI43" s="476" t="str">
        <v>1</v>
      </c>
      <c r="AJ43" s="200"/>
      <c r="AK43" s="200"/>
      <c r="AL43" s="200"/>
      <c r="AM43" s="200"/>
      <c r="AN43" s="200"/>
      <c r="AR43" s="200"/>
    </row>
    <row r="44" spans="2:44" s="97" customFormat="1" ht="15.45" customHeight="1" x14ac:dyDescent="0.3">
      <c r="B44" s="286">
        <v>6</v>
      </c>
      <c r="C44" s="183" t="s">
        <v>263</v>
      </c>
      <c r="D44" s="63"/>
      <c r="E44" s="154" t="str">
        <f>IF(D44="","",VLOOKUP(D44,'10. Condition and Temporal'!$B$6:$D$103,3,FALSE))</f>
        <v/>
      </c>
      <c r="F44" s="778"/>
      <c r="G44" s="779"/>
      <c r="H44" s="39"/>
      <c r="I44" s="780"/>
      <c r="J44" s="781"/>
      <c r="K44" s="781"/>
      <c r="L44" s="946" t="str">
        <f t="shared" si="9"/>
        <v/>
      </c>
      <c r="M44" s="927"/>
      <c r="N44" s="928"/>
      <c r="O44" s="133"/>
      <c r="P44" s="85"/>
      <c r="R44" s="649"/>
      <c r="T44" s="785" t="str">
        <f>IF(D44="","",VLOOKUP(D44,'9. All Habitats + Multipliers'!$C$4:$K$102,5,FALSE))</f>
        <v/>
      </c>
      <c r="U44" s="786"/>
      <c r="V44" s="148" t="str">
        <f>IF(T44="","",VLOOKUP(T44,'11. Lists'!$B$47:$D$49,2,FALSE))</f>
        <v/>
      </c>
      <c r="W44" s="61" t="str">
        <f t="shared" si="10"/>
        <v/>
      </c>
      <c r="X44" s="148" t="str">
        <f>IF(W44="","",VLOOKUP(W44,'11. Lists'!$F$47:$G$51,2,FALSE))</f>
        <v/>
      </c>
      <c r="Y44" s="372"/>
      <c r="Z44" s="350"/>
      <c r="AA44" s="499"/>
      <c r="AB44" s="61" t="str">
        <f t="shared" si="11"/>
        <v/>
      </c>
      <c r="AC44" s="60" t="str">
        <f>IF(AB44="","",VLOOKUP(AB44,'11. Lists'!$F$36:$H$38,2,FALSE))</f>
        <v/>
      </c>
      <c r="AD44" s="148" t="str">
        <f>IF(AB44="","",VLOOKUP(AB44,'11. Lists'!$F$36:$H$38,3,FALSE))</f>
        <v/>
      </c>
      <c r="AE44" s="61"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56" t="str">
        <f>IF(AE44="","",VLOOKUP(AE44,'11. Lists'!$I$47:$K$80,3,FALSE))</f>
        <v/>
      </c>
      <c r="AG44" s="61" t="str">
        <f>IF(D44="","",VLOOKUP(D44,'9. All Habitats + Multipliers'!$C$4:$K$102,7,FALSE))</f>
        <v/>
      </c>
      <c r="AH44" s="148" t="str">
        <f>IF(AG44="","",VLOOKUP(AG44,'11. Lists'!$J$35:$K$38,2,FALSE))</f>
        <v/>
      </c>
      <c r="AI44" s="476" t="str">
        <v>1</v>
      </c>
      <c r="AJ44" s="200"/>
      <c r="AK44" s="200"/>
      <c r="AL44" s="200"/>
      <c r="AM44" s="200"/>
      <c r="AN44" s="200"/>
      <c r="AR44" s="200"/>
    </row>
    <row r="45" spans="2:44" s="97" customFormat="1" ht="15.45" customHeight="1" x14ac:dyDescent="0.3">
      <c r="B45" s="286">
        <v>7</v>
      </c>
      <c r="C45" s="183" t="s">
        <v>263</v>
      </c>
      <c r="D45" s="63"/>
      <c r="E45" s="154" t="str">
        <f>IF(D45="","",VLOOKUP(D45,'10. Condition and Temporal'!$B$6:$D$103,3,FALSE))</f>
        <v/>
      </c>
      <c r="F45" s="778"/>
      <c r="G45" s="779"/>
      <c r="H45" s="39"/>
      <c r="I45" s="780"/>
      <c r="J45" s="781"/>
      <c r="K45" s="781"/>
      <c r="L45" s="946" t="str">
        <f t="shared" si="9"/>
        <v/>
      </c>
      <c r="M45" s="927"/>
      <c r="N45" s="928"/>
      <c r="O45" s="133"/>
      <c r="P45" s="85"/>
      <c r="R45" s="649"/>
      <c r="T45" s="785" t="str">
        <f>IF(D45="","",VLOOKUP(D45,'9. All Habitats + Multipliers'!$C$4:$K$102,5,FALSE))</f>
        <v/>
      </c>
      <c r="U45" s="786"/>
      <c r="V45" s="148" t="str">
        <f>IF(T45="","",VLOOKUP(T45,'11. Lists'!$B$47:$D$49,2,FALSE))</f>
        <v/>
      </c>
      <c r="W45" s="61" t="str">
        <f t="shared" si="10"/>
        <v/>
      </c>
      <c r="X45" s="148" t="str">
        <f>IF(W45="","",VLOOKUP(W45,'11. Lists'!$F$47:$G$51,2,FALSE))</f>
        <v/>
      </c>
      <c r="Y45" s="372"/>
      <c r="Z45" s="350"/>
      <c r="AA45" s="499"/>
      <c r="AB45" s="61" t="str">
        <f t="shared" si="11"/>
        <v/>
      </c>
      <c r="AC45" s="60" t="str">
        <f>IF(AB45="","",VLOOKUP(AB45,'11. Lists'!$F$36:$H$38,2,FALSE))</f>
        <v/>
      </c>
      <c r="AD45" s="148" t="str">
        <f>IF(AB45="","",VLOOKUP(AB45,'11. Lists'!$F$36:$H$38,3,FALSE))</f>
        <v/>
      </c>
      <c r="AE45" s="61"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56" t="str">
        <f>IF(AE45="","",VLOOKUP(AE45,'11. Lists'!$I$47:$K$80,3,FALSE))</f>
        <v/>
      </c>
      <c r="AG45" s="61" t="str">
        <f>IF(D45="","",VLOOKUP(D45,'9. All Habitats + Multipliers'!$C$4:$K$102,7,FALSE))</f>
        <v/>
      </c>
      <c r="AH45" s="148" t="str">
        <f>IF(AG45="","",VLOOKUP(AG45,'11. Lists'!$J$35:$K$38,2,FALSE))</f>
        <v/>
      </c>
      <c r="AI45" s="476" t="str">
        <v>1</v>
      </c>
      <c r="AJ45" s="200"/>
      <c r="AK45" s="200"/>
      <c r="AL45" s="200"/>
      <c r="AM45" s="200"/>
      <c r="AN45" s="200"/>
      <c r="AR45" s="200"/>
    </row>
    <row r="46" spans="2:44" s="97" customFormat="1" ht="15.45" customHeight="1" x14ac:dyDescent="0.3">
      <c r="B46" s="286">
        <v>8</v>
      </c>
      <c r="C46" s="183" t="s">
        <v>263</v>
      </c>
      <c r="D46" s="63"/>
      <c r="E46" s="154" t="str">
        <f>IF(D46="","",VLOOKUP(D46,'10. Condition and Temporal'!$B$6:$D$103,3,FALSE))</f>
        <v/>
      </c>
      <c r="F46" s="778"/>
      <c r="G46" s="779"/>
      <c r="H46" s="39"/>
      <c r="I46" s="780"/>
      <c r="J46" s="781"/>
      <c r="K46" s="781"/>
      <c r="L46" s="946" t="str">
        <f t="shared" si="9"/>
        <v/>
      </c>
      <c r="M46" s="927"/>
      <c r="N46" s="928"/>
      <c r="O46" s="133"/>
      <c r="P46" s="85"/>
      <c r="R46" s="649"/>
      <c r="T46" s="785" t="str">
        <f>IF(D46="","",VLOOKUP(D46,'9. All Habitats + Multipliers'!$C$4:$K$102,5,FALSE))</f>
        <v/>
      </c>
      <c r="U46" s="786"/>
      <c r="V46" s="148" t="str">
        <f>IF(T46="","",VLOOKUP(T46,'11. Lists'!$B$47:$D$49,2,FALSE))</f>
        <v/>
      </c>
      <c r="W46" s="61" t="str">
        <f t="shared" si="10"/>
        <v/>
      </c>
      <c r="X46" s="148" t="str">
        <f>IF(W46="","",VLOOKUP(W46,'11. Lists'!$F$47:$G$51,2,FALSE))</f>
        <v/>
      </c>
      <c r="Y46" s="372"/>
      <c r="Z46" s="350"/>
      <c r="AA46" s="499"/>
      <c r="AB46" s="61" t="str">
        <f t="shared" si="11"/>
        <v/>
      </c>
      <c r="AC46" s="60" t="str">
        <f>IF(AB46="","",VLOOKUP(AB46,'11. Lists'!$F$36:$H$38,2,FALSE))</f>
        <v/>
      </c>
      <c r="AD46" s="148" t="str">
        <f>IF(AB46="","",VLOOKUP(AB46,'11. Lists'!$F$36:$H$38,3,FALSE))</f>
        <v/>
      </c>
      <c r="AE46" s="61"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56" t="str">
        <f>IF(AE46="","",VLOOKUP(AE46,'11. Lists'!$I$47:$K$80,3,FALSE))</f>
        <v/>
      </c>
      <c r="AG46" s="61" t="str">
        <f>IF(D46="","",VLOOKUP(D46,'9. All Habitats + Multipliers'!$C$4:$K$102,7,FALSE))</f>
        <v/>
      </c>
      <c r="AH46" s="148" t="str">
        <f>IF(AG46="","",VLOOKUP(AG46,'11. Lists'!$J$35:$K$38,2,FALSE))</f>
        <v/>
      </c>
      <c r="AI46" s="476" t="str">
        <v>1</v>
      </c>
      <c r="AJ46" s="200"/>
      <c r="AK46" s="200"/>
      <c r="AL46" s="200"/>
      <c r="AM46" s="200"/>
      <c r="AN46" s="200"/>
      <c r="AR46" s="200"/>
    </row>
    <row r="47" spans="2:44" s="97" customFormat="1" ht="15.45" customHeight="1" x14ac:dyDescent="0.3">
      <c r="B47" s="286">
        <v>9</v>
      </c>
      <c r="C47" s="183" t="s">
        <v>263</v>
      </c>
      <c r="D47" s="63"/>
      <c r="E47" s="154" t="str">
        <f>IF(D47="","",VLOOKUP(D47,'10. Condition and Temporal'!$B$6:$D$103,3,FALSE))</f>
        <v/>
      </c>
      <c r="F47" s="778"/>
      <c r="G47" s="779"/>
      <c r="H47" s="39"/>
      <c r="I47" s="780"/>
      <c r="J47" s="781"/>
      <c r="K47" s="781"/>
      <c r="L47" s="946" t="str">
        <f t="shared" si="9"/>
        <v/>
      </c>
      <c r="M47" s="927"/>
      <c r="N47" s="928"/>
      <c r="O47" s="133"/>
      <c r="P47" s="85"/>
      <c r="R47" s="649"/>
      <c r="T47" s="785" t="str">
        <f>IF(D47="","",VLOOKUP(D47,'9. All Habitats + Multipliers'!$C$4:$K$102,5,FALSE))</f>
        <v/>
      </c>
      <c r="U47" s="786"/>
      <c r="V47" s="148" t="str">
        <f>IF(T47="","",VLOOKUP(T47,'11. Lists'!$B$47:$D$49,2,FALSE))</f>
        <v/>
      </c>
      <c r="W47" s="61" t="str">
        <f t="shared" si="10"/>
        <v/>
      </c>
      <c r="X47" s="148" t="str">
        <f>IF(W47="","",VLOOKUP(W47,'11. Lists'!$F$47:$G$51,2,FALSE))</f>
        <v/>
      </c>
      <c r="Y47" s="372"/>
      <c r="Z47" s="350"/>
      <c r="AA47" s="499"/>
      <c r="AB47" s="61" t="str">
        <f t="shared" si="11"/>
        <v/>
      </c>
      <c r="AC47" s="60" t="str">
        <f>IF(AB47="","",VLOOKUP(AB47,'11. Lists'!$F$36:$H$38,2,FALSE))</f>
        <v/>
      </c>
      <c r="AD47" s="148" t="str">
        <f>IF(AB47="","",VLOOKUP(AB47,'11. Lists'!$F$36:$H$38,3,FALSE))</f>
        <v/>
      </c>
      <c r="AE47" s="61"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56" t="str">
        <f>IF(AE47="","",VLOOKUP(AE47,'11. Lists'!$I$47:$K$80,3,FALSE))</f>
        <v/>
      </c>
      <c r="AG47" s="61" t="str">
        <f>IF(D47="","",VLOOKUP(D47,'9. All Habitats + Multipliers'!$C$4:$K$102,7,FALSE))</f>
        <v/>
      </c>
      <c r="AH47" s="148" t="str">
        <f>IF(AG47="","",VLOOKUP(AG47,'11. Lists'!$J$35:$K$38,2,FALSE))</f>
        <v/>
      </c>
      <c r="AI47" s="476" t="str">
        <v>1</v>
      </c>
      <c r="AJ47" s="200"/>
      <c r="AK47" s="200"/>
      <c r="AL47" s="200"/>
      <c r="AM47" s="200"/>
      <c r="AN47" s="200"/>
      <c r="AR47" s="200"/>
    </row>
    <row r="48" spans="2:44" s="97" customFormat="1" ht="15.45" customHeight="1" x14ac:dyDescent="0.3">
      <c r="B48" s="286">
        <v>10</v>
      </c>
      <c r="C48" s="183" t="s">
        <v>263</v>
      </c>
      <c r="D48" s="63"/>
      <c r="E48" s="154" t="str">
        <f>IF(D48="","",VLOOKUP(D48,'10. Condition and Temporal'!$B$6:$D$103,3,FALSE))</f>
        <v/>
      </c>
      <c r="F48" s="778"/>
      <c r="G48" s="779"/>
      <c r="H48" s="39"/>
      <c r="I48" s="780"/>
      <c r="J48" s="781"/>
      <c r="K48" s="781"/>
      <c r="L48" s="946" t="str">
        <f t="shared" si="9"/>
        <v/>
      </c>
      <c r="M48" s="927"/>
      <c r="N48" s="928"/>
      <c r="O48" s="133"/>
      <c r="P48" s="85"/>
      <c r="R48" s="649"/>
      <c r="T48" s="785" t="str">
        <f>IF(D48="","",VLOOKUP(D48,'9. All Habitats + Multipliers'!$C$4:$K$102,5,FALSE))</f>
        <v/>
      </c>
      <c r="U48" s="786"/>
      <c r="V48" s="148" t="str">
        <f>IF(T48="","",VLOOKUP(T48,'11. Lists'!$B$47:$D$49,2,FALSE))</f>
        <v/>
      </c>
      <c r="W48" s="61" t="str">
        <f t="shared" si="10"/>
        <v/>
      </c>
      <c r="X48" s="148" t="str">
        <f>IF(W48="","",VLOOKUP(W48,'11. Lists'!$F$47:$G$51,2,FALSE))</f>
        <v/>
      </c>
      <c r="Y48" s="372"/>
      <c r="Z48" s="350"/>
      <c r="AA48" s="499"/>
      <c r="AB48" s="61" t="str">
        <f t="shared" si="11"/>
        <v/>
      </c>
      <c r="AC48" s="60" t="str">
        <f>IF(AB48="","",VLOOKUP(AB48,'11. Lists'!$F$36:$H$38,2,FALSE))</f>
        <v/>
      </c>
      <c r="AD48" s="148" t="str">
        <f>IF(AB48="","",VLOOKUP(AB48,'11. Lists'!$F$36:$H$38,3,FALSE))</f>
        <v/>
      </c>
      <c r="AE48" s="61"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56" t="str">
        <f>IF(AE48="","",VLOOKUP(AE48,'11. Lists'!$I$47:$K$80,3,FALSE))</f>
        <v/>
      </c>
      <c r="AG48" s="61" t="str">
        <f>IF(D48="","",VLOOKUP(D48,'9. All Habitats + Multipliers'!$C$4:$K$102,7,FALSE))</f>
        <v/>
      </c>
      <c r="AH48" s="148" t="str">
        <f>IF(AG48="","",VLOOKUP(AG48,'11. Lists'!$J$35:$K$38,2,FALSE))</f>
        <v/>
      </c>
      <c r="AI48" s="476" t="str">
        <v>1</v>
      </c>
      <c r="AJ48" s="200"/>
      <c r="AK48" s="200"/>
      <c r="AL48" s="200"/>
      <c r="AM48" s="200"/>
      <c r="AN48" s="200"/>
      <c r="AR48" s="200"/>
    </row>
    <row r="49" spans="1:73" s="97" customFormat="1" ht="15.45" customHeight="1" x14ac:dyDescent="0.3">
      <c r="B49" s="286">
        <v>11</v>
      </c>
      <c r="C49" s="183" t="s">
        <v>263</v>
      </c>
      <c r="D49" s="63"/>
      <c r="E49" s="154" t="str">
        <f>IF(D49="","",VLOOKUP(D49,'10. Condition and Temporal'!$B$6:$D$103,3,FALSE))</f>
        <v/>
      </c>
      <c r="F49" s="778"/>
      <c r="G49" s="779"/>
      <c r="H49" s="39"/>
      <c r="I49" s="780"/>
      <c r="J49" s="781"/>
      <c r="K49" s="781"/>
      <c r="L49" s="946" t="str">
        <f t="shared" si="9"/>
        <v/>
      </c>
      <c r="M49" s="927"/>
      <c r="N49" s="928"/>
      <c r="O49" s="133"/>
      <c r="P49" s="85"/>
      <c r="R49" s="649"/>
      <c r="T49" s="785" t="str">
        <f>IF(D49="","",VLOOKUP(D49,'9. All Habitats + Multipliers'!$C$4:$K$102,5,FALSE))</f>
        <v/>
      </c>
      <c r="U49" s="786"/>
      <c r="V49" s="148" t="str">
        <f>IF(T49="","",VLOOKUP(T49,'11. Lists'!$B$47:$D$49,2,FALSE))</f>
        <v/>
      </c>
      <c r="W49" s="61" t="str">
        <f t="shared" si="10"/>
        <v/>
      </c>
      <c r="X49" s="148" t="str">
        <f>IF(W49="","",VLOOKUP(W49,'11. Lists'!$F$47:$G$51,2,FALSE))</f>
        <v/>
      </c>
      <c r="Y49" s="372"/>
      <c r="Z49" s="350"/>
      <c r="AA49" s="499"/>
      <c r="AB49" s="61" t="str">
        <f t="shared" si="11"/>
        <v/>
      </c>
      <c r="AC49" s="60" t="str">
        <f>IF(AB49="","",VLOOKUP(AB49,'11. Lists'!$F$36:$H$38,2,FALSE))</f>
        <v/>
      </c>
      <c r="AD49" s="148" t="str">
        <f>IF(AB49="","",VLOOKUP(AB49,'11. Lists'!$F$36:$H$38,3,FALSE))</f>
        <v/>
      </c>
      <c r="AE49" s="61"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56" t="str">
        <f>IF(AE49="","",VLOOKUP(AE49,'11. Lists'!$I$47:$K$80,3,FALSE))</f>
        <v/>
      </c>
      <c r="AG49" s="61" t="str">
        <f>IF(D49="","",VLOOKUP(D49,'9. All Habitats + Multipliers'!$C$4:$K$102,7,FALSE))</f>
        <v/>
      </c>
      <c r="AH49" s="148" t="str">
        <f>IF(AG49="","",VLOOKUP(AG49,'11. Lists'!$J$35:$K$38,2,FALSE))</f>
        <v/>
      </c>
      <c r="AI49" s="476" t="str">
        <v>1</v>
      </c>
      <c r="AJ49" s="200"/>
      <c r="AK49" s="200"/>
      <c r="AL49" s="200"/>
      <c r="AM49" s="200"/>
      <c r="AN49" s="200"/>
      <c r="AR49" s="200"/>
    </row>
    <row r="50" spans="1:73" s="97" customFormat="1" ht="15.45" customHeight="1" x14ac:dyDescent="0.3">
      <c r="B50" s="286">
        <v>12</v>
      </c>
      <c r="C50" s="183" t="s">
        <v>263</v>
      </c>
      <c r="D50" s="63"/>
      <c r="E50" s="154" t="str">
        <f>IF(D50="","",VLOOKUP(D50,'10. Condition and Temporal'!$B$6:$D$103,3,FALSE))</f>
        <v/>
      </c>
      <c r="F50" s="778"/>
      <c r="G50" s="779"/>
      <c r="H50" s="39"/>
      <c r="I50" s="780"/>
      <c r="J50" s="781"/>
      <c r="K50" s="781"/>
      <c r="L50" s="946" t="str">
        <f t="shared" si="9"/>
        <v/>
      </c>
      <c r="M50" s="927"/>
      <c r="N50" s="928"/>
      <c r="O50" s="133"/>
      <c r="P50" s="85"/>
      <c r="R50" s="649"/>
      <c r="T50" s="785" t="str">
        <f>IF(D50="","",VLOOKUP(D50,'9. All Habitats + Multipliers'!$C$4:$K$102,5,FALSE))</f>
        <v/>
      </c>
      <c r="U50" s="786"/>
      <c r="V50" s="148" t="str">
        <f>IF(T50="","",VLOOKUP(T50,'11. Lists'!$B$47:$D$49,2,FALSE))</f>
        <v/>
      </c>
      <c r="W50" s="61" t="str">
        <f t="shared" si="10"/>
        <v/>
      </c>
      <c r="X50" s="148" t="str">
        <f>IF(W50="","",VLOOKUP(W50,'11. Lists'!$F$47:$G$51,2,FALSE))</f>
        <v/>
      </c>
      <c r="Y50" s="372"/>
      <c r="Z50" s="350"/>
      <c r="AA50" s="499"/>
      <c r="AB50" s="61" t="str">
        <f t="shared" si="11"/>
        <v/>
      </c>
      <c r="AC50" s="60" t="str">
        <f>IF(AB50="","",VLOOKUP(AB50,'11. Lists'!$F$36:$H$38,2,FALSE))</f>
        <v/>
      </c>
      <c r="AD50" s="148" t="str">
        <f>IF(AB50="","",VLOOKUP(AB50,'11. Lists'!$F$36:$H$38,3,FALSE))</f>
        <v/>
      </c>
      <c r="AE50" s="61"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56" t="str">
        <f>IF(AE50="","",VLOOKUP(AE50,'11. Lists'!$I$47:$K$80,3,FALSE))</f>
        <v/>
      </c>
      <c r="AG50" s="61" t="str">
        <f>IF(D50="","",VLOOKUP(D50,'9. All Habitats + Multipliers'!$C$4:$K$102,7,FALSE))</f>
        <v/>
      </c>
      <c r="AH50" s="148" t="str">
        <f>IF(AG50="","",VLOOKUP(AG50,'11. Lists'!$J$35:$K$38,2,FALSE))</f>
        <v/>
      </c>
      <c r="AI50" s="476" t="str">
        <v>1</v>
      </c>
      <c r="AJ50" s="200"/>
      <c r="AK50" s="200"/>
      <c r="AL50" s="200"/>
      <c r="AM50" s="200"/>
      <c r="AN50" s="200"/>
    </row>
    <row r="51" spans="1:73" s="97" customFormat="1" ht="15.45" customHeight="1" x14ac:dyDescent="0.3">
      <c r="B51" s="286">
        <v>13</v>
      </c>
      <c r="C51" s="183" t="s">
        <v>263</v>
      </c>
      <c r="D51" s="63"/>
      <c r="E51" s="154" t="str">
        <f>IF(D51="","",VLOOKUP(D51,'10. Condition and Temporal'!$B$6:$D$103,3,FALSE))</f>
        <v/>
      </c>
      <c r="F51" s="778"/>
      <c r="G51" s="779"/>
      <c r="H51" s="39"/>
      <c r="I51" s="780"/>
      <c r="J51" s="781"/>
      <c r="K51" s="781"/>
      <c r="L51" s="946" t="str">
        <f t="shared" si="9"/>
        <v/>
      </c>
      <c r="M51" s="927"/>
      <c r="N51" s="928"/>
      <c r="O51" s="133"/>
      <c r="P51" s="85"/>
      <c r="R51" s="649"/>
      <c r="T51" s="785" t="str">
        <f>IF(D51="","",VLOOKUP(D51,'9. All Habitats + Multipliers'!$C$4:$K$102,5,FALSE))</f>
        <v/>
      </c>
      <c r="U51" s="786"/>
      <c r="V51" s="148" t="str">
        <f>IF(T51="","",VLOOKUP(T51,'11. Lists'!$B$47:$D$49,2,FALSE))</f>
        <v/>
      </c>
      <c r="W51" s="61" t="str">
        <f t="shared" si="10"/>
        <v/>
      </c>
      <c r="X51" s="148" t="str">
        <f>IF(W51="","",VLOOKUP(W51,'11. Lists'!$F$47:$G$51,2,FALSE))</f>
        <v/>
      </c>
      <c r="Y51" s="372"/>
      <c r="Z51" s="350"/>
      <c r="AA51" s="499"/>
      <c r="AB51" s="61" t="str">
        <f t="shared" si="11"/>
        <v/>
      </c>
      <c r="AC51" s="60" t="str">
        <f>IF(AB51="","",VLOOKUP(AB51,'11. Lists'!$F$36:$H$38,2,FALSE))</f>
        <v/>
      </c>
      <c r="AD51" s="148" t="str">
        <f>IF(AB51="","",VLOOKUP(AB51,'11. Lists'!$F$36:$H$38,3,FALSE))</f>
        <v/>
      </c>
      <c r="AE51" s="61"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56" t="str">
        <f>IF(AE51="","",VLOOKUP(AE51,'11. Lists'!$I$47:$K$80,3,FALSE))</f>
        <v/>
      </c>
      <c r="AG51" s="61" t="str">
        <f>IF(D51="","",VLOOKUP(D51,'9. All Habitats + Multipliers'!$C$4:$K$102,7,FALSE))</f>
        <v/>
      </c>
      <c r="AH51" s="148" t="str">
        <f>IF(AG51="","",VLOOKUP(AG51,'11. Lists'!$J$35:$K$38,2,FALSE))</f>
        <v/>
      </c>
      <c r="AI51" s="476" t="str">
        <v>1</v>
      </c>
      <c r="AJ51" s="200"/>
      <c r="AK51" s="200"/>
      <c r="AL51" s="200"/>
      <c r="AM51" s="200"/>
      <c r="AN51" s="200"/>
    </row>
    <row r="52" spans="1:73" s="97" customFormat="1" ht="15.45" customHeight="1" x14ac:dyDescent="0.3">
      <c r="B52" s="286">
        <v>14</v>
      </c>
      <c r="C52" s="183" t="s">
        <v>263</v>
      </c>
      <c r="D52" s="63"/>
      <c r="E52" s="154" t="str">
        <f>IF(D52="","",VLOOKUP(D52,'10. Condition and Temporal'!$B$6:$D$103,3,FALSE))</f>
        <v/>
      </c>
      <c r="F52" s="778"/>
      <c r="G52" s="779"/>
      <c r="H52" s="39"/>
      <c r="I52" s="780"/>
      <c r="J52" s="781"/>
      <c r="K52" s="781"/>
      <c r="L52" s="946" t="str">
        <f t="shared" si="9"/>
        <v/>
      </c>
      <c r="M52" s="927"/>
      <c r="N52" s="928"/>
      <c r="O52" s="133"/>
      <c r="P52" s="85"/>
      <c r="R52" s="649"/>
      <c r="T52" s="785" t="str">
        <f>IF(D52="","",VLOOKUP(D52,'9. All Habitats + Multipliers'!$C$4:$K$102,5,FALSE))</f>
        <v/>
      </c>
      <c r="U52" s="786"/>
      <c r="V52" s="148" t="str">
        <f>IF(T52="","",VLOOKUP(T52,'11. Lists'!$B$47:$D$49,2,FALSE))</f>
        <v/>
      </c>
      <c r="W52" s="61" t="str">
        <f t="shared" si="10"/>
        <v/>
      </c>
      <c r="X52" s="148" t="str">
        <f>IF(W52="","",VLOOKUP(W52,'11. Lists'!$F$47:$G$51,2,FALSE))</f>
        <v/>
      </c>
      <c r="Y52" s="372"/>
      <c r="Z52" s="350"/>
      <c r="AA52" s="499"/>
      <c r="AB52" s="61" t="str">
        <f t="shared" si="11"/>
        <v/>
      </c>
      <c r="AC52" s="60" t="str">
        <f>IF(AB52="","",VLOOKUP(AB52,'11. Lists'!$F$36:$H$38,2,FALSE))</f>
        <v/>
      </c>
      <c r="AD52" s="148" t="str">
        <f>IF(AB52="","",VLOOKUP(AB52,'11. Lists'!$F$36:$H$38,3,FALSE))</f>
        <v/>
      </c>
      <c r="AE52" s="61"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56" t="str">
        <f>IF(AE52="","",VLOOKUP(AE52,'11. Lists'!$I$47:$K$80,3,FALSE))</f>
        <v/>
      </c>
      <c r="AG52" s="61" t="str">
        <f>IF(D52="","",VLOOKUP(D52,'9. All Habitats + Multipliers'!$C$4:$K$102,7,FALSE))</f>
        <v/>
      </c>
      <c r="AH52" s="148" t="str">
        <f>IF(AG52="","",VLOOKUP(AG52,'11. Lists'!$J$35:$K$38,2,FALSE))</f>
        <v/>
      </c>
      <c r="AI52" s="476" t="str">
        <v>1</v>
      </c>
      <c r="AJ52" s="200"/>
      <c r="AK52" s="200"/>
      <c r="AL52" s="200"/>
      <c r="AM52" s="200"/>
      <c r="AN52" s="200"/>
    </row>
    <row r="53" spans="1:73" s="97" customFormat="1" ht="15.45" customHeight="1" x14ac:dyDescent="0.3">
      <c r="B53" s="286">
        <v>15</v>
      </c>
      <c r="C53" s="183" t="s">
        <v>263</v>
      </c>
      <c r="D53" s="63"/>
      <c r="E53" s="154" t="str">
        <f>IF(D53="","",VLOOKUP(D53,'10. Condition and Temporal'!$B$6:$D$103,3,FALSE))</f>
        <v/>
      </c>
      <c r="F53" s="778"/>
      <c r="G53" s="779"/>
      <c r="H53" s="39"/>
      <c r="I53" s="780"/>
      <c r="J53" s="781"/>
      <c r="K53" s="781"/>
      <c r="L53" s="946" t="str">
        <f t="shared" si="9"/>
        <v/>
      </c>
      <c r="M53" s="927"/>
      <c r="N53" s="928"/>
      <c r="O53" s="133"/>
      <c r="P53" s="85"/>
      <c r="R53" s="649"/>
      <c r="T53" s="785" t="str">
        <f>IF(D53="","",VLOOKUP(D53,'9. All Habitats + Multipliers'!$C$4:$K$102,5,FALSE))</f>
        <v/>
      </c>
      <c r="U53" s="786"/>
      <c r="V53" s="148" t="str">
        <f>IF(T53="","",VLOOKUP(T53,'11. Lists'!$B$47:$D$49,2,FALSE))</f>
        <v/>
      </c>
      <c r="W53" s="61" t="str">
        <f t="shared" si="10"/>
        <v/>
      </c>
      <c r="X53" s="148" t="str">
        <f>IF(W53="","",VLOOKUP(W53,'11. Lists'!$F$47:$G$51,2,FALSE))</f>
        <v/>
      </c>
      <c r="Y53" s="372"/>
      <c r="Z53" s="350"/>
      <c r="AA53" s="499"/>
      <c r="AB53" s="61" t="str">
        <f t="shared" si="11"/>
        <v/>
      </c>
      <c r="AC53" s="60" t="str">
        <f>IF(AB53="","",VLOOKUP(AB53,'11. Lists'!$F$36:$H$38,2,FALSE))</f>
        <v/>
      </c>
      <c r="AD53" s="148" t="str">
        <f>IF(AB53="","",VLOOKUP(AB53,'11. Lists'!$F$36:$H$38,3,FALSE))</f>
        <v/>
      </c>
      <c r="AE53" s="61"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56" t="str">
        <f>IF(AE53="","",VLOOKUP(AE53,'11. Lists'!$I$47:$K$80,3,FALSE))</f>
        <v/>
      </c>
      <c r="AG53" s="61" t="str">
        <f>IF(D53="","",VLOOKUP(D53,'9. All Habitats + Multipliers'!$C$4:$K$102,7,FALSE))</f>
        <v/>
      </c>
      <c r="AH53" s="148" t="str">
        <f>IF(AG53="","",VLOOKUP(AG53,'11. Lists'!$J$35:$K$38,2,FALSE))</f>
        <v/>
      </c>
      <c r="AI53" s="476" t="str">
        <v>1</v>
      </c>
      <c r="AJ53" s="200"/>
      <c r="AK53" s="200"/>
      <c r="AL53" s="200"/>
      <c r="AM53" s="200"/>
      <c r="AN53" s="200"/>
    </row>
    <row r="54" spans="1:73" s="97" customFormat="1" ht="15.45" customHeight="1" x14ac:dyDescent="0.3">
      <c r="B54" s="286">
        <v>16</v>
      </c>
      <c r="C54" s="183" t="s">
        <v>263</v>
      </c>
      <c r="D54" s="63"/>
      <c r="E54" s="154" t="str">
        <f>IF(D54="","",VLOOKUP(D54,'10. Condition and Temporal'!$B$6:$D$103,3,FALSE))</f>
        <v/>
      </c>
      <c r="F54" s="778"/>
      <c r="G54" s="779"/>
      <c r="H54" s="39"/>
      <c r="I54" s="780"/>
      <c r="J54" s="781"/>
      <c r="K54" s="781"/>
      <c r="L54" s="946" t="str">
        <f t="shared" si="9"/>
        <v/>
      </c>
      <c r="M54" s="927"/>
      <c r="N54" s="928"/>
      <c r="O54" s="133"/>
      <c r="P54" s="85"/>
      <c r="R54" s="649"/>
      <c r="T54" s="785" t="str">
        <f>IF(D54="","",VLOOKUP(D54,'9. All Habitats + Multipliers'!$C$4:$K$102,5,FALSE))</f>
        <v/>
      </c>
      <c r="U54" s="786"/>
      <c r="V54" s="148" t="str">
        <f>IF(T54="","",VLOOKUP(T54,'11. Lists'!$B$47:$D$49,2,FALSE))</f>
        <v/>
      </c>
      <c r="W54" s="61" t="str">
        <f t="shared" si="10"/>
        <v/>
      </c>
      <c r="X54" s="148" t="str">
        <f>IF(W54="","",VLOOKUP(W54,'11. Lists'!$F$47:$G$51,2,FALSE))</f>
        <v/>
      </c>
      <c r="Y54" s="372"/>
      <c r="Z54" s="350"/>
      <c r="AA54" s="499"/>
      <c r="AB54" s="61" t="str">
        <f t="shared" si="11"/>
        <v/>
      </c>
      <c r="AC54" s="60" t="str">
        <f>IF(AB54="","",VLOOKUP(AB54,'11. Lists'!$F$36:$H$38,2,FALSE))</f>
        <v/>
      </c>
      <c r="AD54" s="148" t="str">
        <f>IF(AB54="","",VLOOKUP(AB54,'11. Lists'!$F$36:$H$38,3,FALSE))</f>
        <v/>
      </c>
      <c r="AE54" s="61"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56" t="str">
        <f>IF(AE54="","",VLOOKUP(AE54,'11. Lists'!$I$47:$K$80,3,FALSE))</f>
        <v/>
      </c>
      <c r="AG54" s="61" t="str">
        <f>IF(D54="","",VLOOKUP(D54,'9. All Habitats + Multipliers'!$C$4:$K$102,7,FALSE))</f>
        <v/>
      </c>
      <c r="AH54" s="148" t="str">
        <f>IF(AG54="","",VLOOKUP(AG54,'11. Lists'!$J$35:$K$38,2,FALSE))</f>
        <v/>
      </c>
      <c r="AI54" s="476" t="str">
        <v>1</v>
      </c>
      <c r="AJ54" s="200"/>
      <c r="AK54" s="200"/>
      <c r="AL54" s="200"/>
      <c r="AM54" s="200"/>
      <c r="AN54" s="200"/>
    </row>
    <row r="55" spans="1:73" s="97" customFormat="1" ht="15.45" customHeight="1" x14ac:dyDescent="0.3">
      <c r="B55" s="286">
        <v>17</v>
      </c>
      <c r="C55" s="183" t="s">
        <v>263</v>
      </c>
      <c r="D55" s="63"/>
      <c r="E55" s="154" t="str">
        <f>IF(D55="","",VLOOKUP(D55,'10. Condition and Temporal'!$B$6:$D$103,3,FALSE))</f>
        <v/>
      </c>
      <c r="F55" s="778"/>
      <c r="G55" s="779"/>
      <c r="H55" s="39"/>
      <c r="I55" s="780"/>
      <c r="J55" s="781"/>
      <c r="K55" s="781"/>
      <c r="L55" s="946" t="str">
        <f t="shared" si="9"/>
        <v/>
      </c>
      <c r="M55" s="927"/>
      <c r="N55" s="928"/>
      <c r="O55" s="133"/>
      <c r="P55" s="85"/>
      <c r="R55" s="649"/>
      <c r="T55" s="785" t="str">
        <f>IF(D55="","",VLOOKUP(D55,'9. All Habitats + Multipliers'!$C$4:$K$102,5,FALSE))</f>
        <v/>
      </c>
      <c r="U55" s="786"/>
      <c r="V55" s="148" t="str">
        <f>IF(T55="","",VLOOKUP(T55,'11. Lists'!$B$47:$D$49,2,FALSE))</f>
        <v/>
      </c>
      <c r="W55" s="61" t="str">
        <f t="shared" si="10"/>
        <v/>
      </c>
      <c r="X55" s="148" t="str">
        <f>IF(W55="","",VLOOKUP(W55,'11. Lists'!$F$47:$G$51,2,FALSE))</f>
        <v/>
      </c>
      <c r="Y55" s="372"/>
      <c r="Z55" s="350"/>
      <c r="AA55" s="499"/>
      <c r="AB55" s="61" t="str">
        <f t="shared" si="11"/>
        <v/>
      </c>
      <c r="AC55" s="60" t="str">
        <f>IF(AB55="","",VLOOKUP(AB55,'11. Lists'!$F$36:$H$38,2,FALSE))</f>
        <v/>
      </c>
      <c r="AD55" s="148" t="str">
        <f>IF(AB55="","",VLOOKUP(AB55,'11. Lists'!$F$36:$H$38,3,FALSE))</f>
        <v/>
      </c>
      <c r="AE55" s="61"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56" t="str">
        <f>IF(AE55="","",VLOOKUP(AE55,'11. Lists'!$I$47:$K$80,3,FALSE))</f>
        <v/>
      </c>
      <c r="AG55" s="61" t="str">
        <f>IF(D55="","",VLOOKUP(D55,'9. All Habitats + Multipliers'!$C$4:$K$102,7,FALSE))</f>
        <v/>
      </c>
      <c r="AH55" s="148" t="str">
        <f>IF(AG55="","",VLOOKUP(AG55,'11. Lists'!$J$35:$K$38,2,FALSE))</f>
        <v/>
      </c>
      <c r="AI55" s="476" t="str">
        <v>1</v>
      </c>
      <c r="AJ55" s="200"/>
      <c r="AK55" s="200"/>
      <c r="AL55" s="200"/>
      <c r="AM55" s="200"/>
      <c r="AN55" s="200"/>
    </row>
    <row r="56" spans="1:73" s="97" customFormat="1" ht="15.45" customHeight="1" x14ac:dyDescent="0.3">
      <c r="B56" s="286">
        <v>18</v>
      </c>
      <c r="C56" s="183" t="s">
        <v>263</v>
      </c>
      <c r="D56" s="63"/>
      <c r="E56" s="154" t="str">
        <f>IF(D56="","",VLOOKUP(D56,'10. Condition and Temporal'!$B$6:$D$103,3,FALSE))</f>
        <v/>
      </c>
      <c r="F56" s="778"/>
      <c r="G56" s="779"/>
      <c r="H56" s="39"/>
      <c r="I56" s="780"/>
      <c r="J56" s="781"/>
      <c r="K56" s="781"/>
      <c r="L56" s="946" t="str">
        <f t="shared" si="9"/>
        <v/>
      </c>
      <c r="M56" s="927"/>
      <c r="N56" s="928"/>
      <c r="O56" s="133"/>
      <c r="P56" s="85"/>
      <c r="R56" s="649"/>
      <c r="T56" s="785" t="str">
        <f>IF(D56="","",VLOOKUP(D56,'9. All Habitats + Multipliers'!$C$4:$K$102,5,FALSE))</f>
        <v/>
      </c>
      <c r="U56" s="786"/>
      <c r="V56" s="148" t="str">
        <f>IF(T56="","",VLOOKUP(T56,'11. Lists'!$B$47:$D$49,2,FALSE))</f>
        <v/>
      </c>
      <c r="W56" s="61" t="str">
        <f t="shared" si="10"/>
        <v/>
      </c>
      <c r="X56" s="148" t="str">
        <f>IF(W56="","",VLOOKUP(W56,'11. Lists'!$F$47:$G$51,2,FALSE))</f>
        <v/>
      </c>
      <c r="Y56" s="372"/>
      <c r="Z56" s="350"/>
      <c r="AA56" s="499"/>
      <c r="AB56" s="61" t="str">
        <f t="shared" si="11"/>
        <v/>
      </c>
      <c r="AC56" s="60" t="str">
        <f>IF(AB56="","",VLOOKUP(AB56,'11. Lists'!$F$36:$H$38,2,FALSE))</f>
        <v/>
      </c>
      <c r="AD56" s="148" t="str">
        <f>IF(AB56="","",VLOOKUP(AB56,'11. Lists'!$F$36:$H$38,3,FALSE))</f>
        <v/>
      </c>
      <c r="AE56" s="61"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56" t="str">
        <f>IF(AE56="","",VLOOKUP(AE56,'11. Lists'!$I$47:$K$80,3,FALSE))</f>
        <v/>
      </c>
      <c r="AG56" s="61" t="str">
        <f>IF(D56="","",VLOOKUP(D56,'9. All Habitats + Multipliers'!$C$4:$K$102,7,FALSE))</f>
        <v/>
      </c>
      <c r="AH56" s="148" t="str">
        <f>IF(AG56="","",VLOOKUP(AG56,'11. Lists'!$J$35:$K$38,2,FALSE))</f>
        <v/>
      </c>
      <c r="AI56" s="476" t="str">
        <v>1</v>
      </c>
      <c r="AJ56" s="200"/>
      <c r="AK56" s="200"/>
      <c r="AL56" s="200"/>
      <c r="AM56" s="200"/>
      <c r="AN56" s="200"/>
    </row>
    <row r="57" spans="1:73" s="97" customFormat="1" ht="15.45" customHeight="1" x14ac:dyDescent="0.3">
      <c r="B57" s="286">
        <v>19</v>
      </c>
      <c r="C57" s="183" t="s">
        <v>263</v>
      </c>
      <c r="D57" s="63"/>
      <c r="E57" s="154" t="str">
        <f>IF(D57="","",VLOOKUP(D57,'10. Condition and Temporal'!$B$6:$D$103,3,FALSE))</f>
        <v/>
      </c>
      <c r="F57" s="778"/>
      <c r="G57" s="779"/>
      <c r="H57" s="39"/>
      <c r="I57" s="780"/>
      <c r="J57" s="781"/>
      <c r="K57" s="781"/>
      <c r="L57" s="946" t="str">
        <f t="shared" si="9"/>
        <v/>
      </c>
      <c r="M57" s="927"/>
      <c r="N57" s="928"/>
      <c r="O57" s="133"/>
      <c r="P57" s="85"/>
      <c r="R57" s="649"/>
      <c r="T57" s="785" t="str">
        <f>IF(D57="","",VLOOKUP(D57,'9. All Habitats + Multipliers'!$C$4:$K$102,5,FALSE))</f>
        <v/>
      </c>
      <c r="U57" s="786"/>
      <c r="V57" s="148" t="str">
        <f>IF(T57="","",VLOOKUP(T57,'11. Lists'!$B$47:$D$49,2,FALSE))</f>
        <v/>
      </c>
      <c r="W57" s="61" t="str">
        <f t="shared" si="10"/>
        <v/>
      </c>
      <c r="X57" s="148" t="str">
        <f>IF(W57="","",VLOOKUP(W57,'11. Lists'!$F$47:$G$51,2,FALSE))</f>
        <v/>
      </c>
      <c r="Y57" s="372"/>
      <c r="Z57" s="350"/>
      <c r="AA57" s="499"/>
      <c r="AB57" s="61" t="str">
        <f t="shared" si="11"/>
        <v/>
      </c>
      <c r="AC57" s="60" t="str">
        <f>IF(AB57="","",VLOOKUP(AB57,'11. Lists'!$F$36:$H$38,2,FALSE))</f>
        <v/>
      </c>
      <c r="AD57" s="148" t="str">
        <f>IF(AB57="","",VLOOKUP(AB57,'11. Lists'!$F$36:$H$38,3,FALSE))</f>
        <v/>
      </c>
      <c r="AE57" s="61"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56" t="str">
        <f>IF(AE57="","",VLOOKUP(AE57,'11. Lists'!$I$47:$K$80,3,FALSE))</f>
        <v/>
      </c>
      <c r="AG57" s="61" t="str">
        <f>IF(D57="","",VLOOKUP(D57,'9. All Habitats + Multipliers'!$C$4:$K$102,7,FALSE))</f>
        <v/>
      </c>
      <c r="AH57" s="148" t="str">
        <f>IF(AG57="","",VLOOKUP(AG57,'11. Lists'!$J$35:$K$38,2,FALSE))</f>
        <v/>
      </c>
      <c r="AI57" s="476" t="str">
        <v>1</v>
      </c>
      <c r="AJ57" s="200"/>
      <c r="AK57" s="200"/>
      <c r="AL57" s="200"/>
      <c r="AM57" s="200"/>
      <c r="AN57" s="200"/>
    </row>
    <row r="58" spans="1:73" s="97" customFormat="1" ht="16.2" customHeight="1" x14ac:dyDescent="0.3">
      <c r="B58" s="287">
        <v>20</v>
      </c>
      <c r="C58" s="187" t="s">
        <v>263</v>
      </c>
      <c r="D58" s="179"/>
      <c r="E58" s="180" t="str">
        <f>IF(D58="","",VLOOKUP(D58,'10. Condition and Temporal'!$B$6:$D$103,3,FALSE))</f>
        <v/>
      </c>
      <c r="F58" s="947"/>
      <c r="G58" s="948"/>
      <c r="H58" s="181"/>
      <c r="I58" s="949"/>
      <c r="J58" s="950"/>
      <c r="K58" s="950"/>
      <c r="L58" s="951" t="str">
        <f t="shared" si="9"/>
        <v/>
      </c>
      <c r="M58" s="931"/>
      <c r="N58" s="932"/>
      <c r="O58" s="134"/>
      <c r="P58" s="87"/>
      <c r="R58" s="649"/>
      <c r="T58" s="794" t="str">
        <f>IF(D58="","",VLOOKUP(D58,'9. All Habitats + Multipliers'!$C$4:$K$102,5,FALSE))</f>
        <v/>
      </c>
      <c r="U58" s="795"/>
      <c r="V58" s="151" t="str">
        <f>IF(T58="","",VLOOKUP(T58,'11. Lists'!$B$47:$D$49,2,FALSE))</f>
        <v/>
      </c>
      <c r="W58" s="57" t="str">
        <f t="shared" si="10"/>
        <v/>
      </c>
      <c r="X58" s="151" t="str">
        <f>IF(W58="","",VLOOKUP(W58,'11. Lists'!$F$47:$G$51,2,FALSE))</f>
        <v/>
      </c>
      <c r="Y58" s="372"/>
      <c r="Z58" s="350"/>
      <c r="AA58" s="499"/>
      <c r="AB58" s="57" t="str">
        <f t="shared" si="11"/>
        <v/>
      </c>
      <c r="AC58" s="56" t="str">
        <f>IF(AB58="","",VLOOKUP(AB58,'11. Lists'!$F$36:$H$38,2,FALSE))</f>
        <v/>
      </c>
      <c r="AD58" s="151" t="str">
        <f>IF(AB58="","",VLOOKUP(AB58,'11. Lists'!$F$36:$H$38,3,FALSE))</f>
        <v/>
      </c>
      <c r="AE58" s="57"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57" t="str">
        <f>IF(AE58="","",VLOOKUP(AE58,'11. Lists'!$I$47:$K$80,3,FALSE))</f>
        <v/>
      </c>
      <c r="AG58" s="57" t="str">
        <f>IF(D58="","",VLOOKUP(D58,'9. All Habitats + Multipliers'!$C$4:$K$102,7,FALSE))</f>
        <v/>
      </c>
      <c r="AH58" s="151" t="str">
        <f>IF(AG58="","",VLOOKUP(AG58,'11. Lists'!$J$35:$K$38,2,FALSE))</f>
        <v/>
      </c>
      <c r="AI58" s="477" t="str">
        <v>1</v>
      </c>
      <c r="AJ58" s="200"/>
      <c r="AK58" s="200"/>
      <c r="AL58" s="200"/>
      <c r="AM58" s="200"/>
      <c r="AN58" s="200"/>
    </row>
    <row r="59" spans="1:73" s="97" customFormat="1" ht="15" customHeight="1" x14ac:dyDescent="0.3">
      <c r="H59" s="291" t="s">
        <v>238</v>
      </c>
      <c r="I59" s="754">
        <f>SUM(I39:K58)</f>
        <v>0</v>
      </c>
      <c r="J59" s="755"/>
      <c r="K59" s="756"/>
      <c r="L59" s="865">
        <f>SUM(L39:N58)</f>
        <v>0</v>
      </c>
      <c r="M59" s="889"/>
      <c r="N59" s="864"/>
      <c r="R59" s="649"/>
      <c r="AJ59" s="200"/>
      <c r="AK59" s="200"/>
      <c r="AL59" s="200"/>
      <c r="AM59" s="200"/>
      <c r="AN59" s="200"/>
    </row>
    <row r="60" spans="1:73" s="97" customFormat="1" x14ac:dyDescent="0.3">
      <c r="R60" s="649"/>
      <c r="AJ60" s="200"/>
      <c r="AK60" s="200"/>
      <c r="AL60" s="200"/>
      <c r="AM60" s="200"/>
      <c r="AN60" s="200"/>
    </row>
    <row r="61" spans="1:73" s="97" customFormat="1" x14ac:dyDescent="0.3">
      <c r="R61" s="649"/>
      <c r="AJ61" s="200"/>
      <c r="AK61" s="200"/>
      <c r="AL61" s="200"/>
      <c r="AM61" s="200"/>
      <c r="AN61" s="200"/>
      <c r="BA61" s="112" t="s">
        <v>128</v>
      </c>
    </row>
    <row r="62" spans="1:73" s="97" customFormat="1" ht="21" customHeight="1" x14ac:dyDescent="0.4">
      <c r="B62" s="119" t="s">
        <v>129</v>
      </c>
      <c r="D62" s="146"/>
      <c r="H62" s="98"/>
      <c r="R62" s="649"/>
      <c r="AJ62" s="200"/>
      <c r="AK62" s="200"/>
      <c r="AL62" s="200"/>
      <c r="AM62" s="200"/>
      <c r="AN62" s="200"/>
      <c r="BA62" s="112" t="s">
        <v>130</v>
      </c>
    </row>
    <row r="63" spans="1:73" s="97" customFormat="1" ht="15" customHeight="1" x14ac:dyDescent="0.3">
      <c r="A63" s="892"/>
      <c r="R63" s="649"/>
      <c r="AJ63" s="200"/>
      <c r="AK63" s="200"/>
      <c r="AL63" s="200"/>
      <c r="AM63" s="200"/>
      <c r="AN63" s="200"/>
      <c r="BA63" s="933" t="s">
        <v>143</v>
      </c>
    </row>
    <row r="64" spans="1:73" s="97" customFormat="1" ht="16.2" customHeight="1" x14ac:dyDescent="0.3">
      <c r="A64" s="892"/>
      <c r="B64" s="761" t="s">
        <v>131</v>
      </c>
      <c r="C64" s="763" t="s">
        <v>132</v>
      </c>
      <c r="D64" s="764"/>
      <c r="E64" s="765" t="s">
        <v>266</v>
      </c>
      <c r="F64" s="766"/>
      <c r="G64" s="767"/>
      <c r="H64" s="748" t="s">
        <v>134</v>
      </c>
      <c r="I64" s="748" t="s">
        <v>267</v>
      </c>
      <c r="J64" s="750" t="s">
        <v>136</v>
      </c>
      <c r="K64" s="750"/>
      <c r="L64" s="763" t="s">
        <v>137</v>
      </c>
      <c r="M64" s="773" t="s">
        <v>138</v>
      </c>
      <c r="N64" s="764"/>
      <c r="O64" s="776" t="s">
        <v>79</v>
      </c>
      <c r="P64" s="777"/>
      <c r="R64" s="649"/>
      <c r="T64" s="745" t="s">
        <v>139</v>
      </c>
      <c r="U64" s="746"/>
      <c r="V64" s="746"/>
      <c r="W64" s="746"/>
      <c r="X64" s="746"/>
      <c r="Y64" s="746"/>
      <c r="Z64" s="746"/>
      <c r="AA64" s="746"/>
      <c r="AB64" s="746"/>
      <c r="AC64" s="746"/>
      <c r="AD64" s="747"/>
      <c r="AE64" s="748" t="s">
        <v>140</v>
      </c>
      <c r="AF64" s="745" t="s">
        <v>141</v>
      </c>
      <c r="AG64" s="746"/>
      <c r="AH64" s="746"/>
      <c r="AI64" s="746"/>
      <c r="AJ64" s="746"/>
      <c r="AK64" s="746"/>
      <c r="AL64" s="746"/>
      <c r="AM64" s="746"/>
      <c r="AN64" s="746"/>
      <c r="AO64" s="746"/>
      <c r="AP64" s="747"/>
      <c r="AQ64" s="768" t="s">
        <v>142</v>
      </c>
      <c r="AR64" s="745" t="s">
        <v>141</v>
      </c>
      <c r="AS64" s="746"/>
      <c r="AT64" s="746"/>
      <c r="AU64" s="746"/>
      <c r="AV64" s="747"/>
      <c r="BA64" s="933"/>
      <c r="BB64" s="536">
        <f t="shared" ref="BB64:BU64" si="12">COUNTIF(BB66:BB85,"?*")</f>
        <v>0</v>
      </c>
      <c r="BC64" s="226">
        <f t="shared" si="12"/>
        <v>0</v>
      </c>
      <c r="BD64" s="226">
        <f t="shared" si="12"/>
        <v>0</v>
      </c>
      <c r="BE64" s="226">
        <f t="shared" si="12"/>
        <v>0</v>
      </c>
      <c r="BF64" s="226">
        <f t="shared" si="12"/>
        <v>0</v>
      </c>
      <c r="BG64" s="226">
        <f t="shared" si="12"/>
        <v>0</v>
      </c>
      <c r="BH64" s="226">
        <f t="shared" si="12"/>
        <v>0</v>
      </c>
      <c r="BI64" s="226">
        <f t="shared" si="12"/>
        <v>0</v>
      </c>
      <c r="BJ64" s="226">
        <f t="shared" si="12"/>
        <v>0</v>
      </c>
      <c r="BK64" s="226">
        <f t="shared" si="12"/>
        <v>0</v>
      </c>
      <c r="BL64" s="226">
        <f t="shared" si="12"/>
        <v>0</v>
      </c>
      <c r="BM64" s="226">
        <f t="shared" si="12"/>
        <v>0</v>
      </c>
      <c r="BN64" s="226">
        <f t="shared" si="12"/>
        <v>0</v>
      </c>
      <c r="BO64" s="226">
        <f t="shared" si="12"/>
        <v>0</v>
      </c>
      <c r="BP64" s="226">
        <f t="shared" si="12"/>
        <v>0</v>
      </c>
      <c r="BQ64" s="226">
        <f t="shared" si="12"/>
        <v>0</v>
      </c>
      <c r="BR64" s="226">
        <f t="shared" si="12"/>
        <v>0</v>
      </c>
      <c r="BS64" s="226">
        <f t="shared" si="12"/>
        <v>0</v>
      </c>
      <c r="BT64" s="226">
        <f t="shared" si="12"/>
        <v>0</v>
      </c>
      <c r="BU64" s="226">
        <f t="shared" si="12"/>
        <v>0</v>
      </c>
    </row>
    <row r="65" spans="1:76" s="97" customFormat="1" ht="45.75" customHeight="1" x14ac:dyDescent="0.3">
      <c r="A65" s="892"/>
      <c r="B65" s="934"/>
      <c r="C65" s="423" t="s">
        <v>144</v>
      </c>
      <c r="D65" s="36" t="s">
        <v>145</v>
      </c>
      <c r="E65" s="38" t="s">
        <v>146</v>
      </c>
      <c r="F65" s="942" t="s">
        <v>147</v>
      </c>
      <c r="G65" s="943"/>
      <c r="H65" s="935"/>
      <c r="I65" s="935"/>
      <c r="J65" s="936"/>
      <c r="K65" s="936"/>
      <c r="L65" s="937"/>
      <c r="M65" s="938"/>
      <c r="N65" s="939"/>
      <c r="O65" s="394" t="s">
        <v>94</v>
      </c>
      <c r="P65" s="36" t="s">
        <v>95</v>
      </c>
      <c r="R65" s="649"/>
      <c r="T65" s="217" t="s">
        <v>148</v>
      </c>
      <c r="U65" s="31" t="s">
        <v>149</v>
      </c>
      <c r="V65" s="30" t="s">
        <v>150</v>
      </c>
      <c r="W65" s="27" t="s">
        <v>151</v>
      </c>
      <c r="X65" s="68" t="s">
        <v>152</v>
      </c>
      <c r="Y65" s="367"/>
      <c r="Z65" s="367"/>
      <c r="AA65" s="367"/>
      <c r="AB65" s="67" t="s">
        <v>153</v>
      </c>
      <c r="AC65" s="368" t="s">
        <v>154</v>
      </c>
      <c r="AD65" s="30" t="s">
        <v>155</v>
      </c>
      <c r="AE65" s="940"/>
      <c r="AF65" s="48" t="s">
        <v>148</v>
      </c>
      <c r="AG65" s="16" t="s">
        <v>96</v>
      </c>
      <c r="AH65" s="356" t="s">
        <v>97</v>
      </c>
      <c r="AI65" s="16" t="s">
        <v>98</v>
      </c>
      <c r="AJ65" s="462" t="s">
        <v>97</v>
      </c>
      <c r="AK65" s="463"/>
      <c r="AL65" s="463"/>
      <c r="AM65" s="463"/>
      <c r="AN65" s="462" t="s">
        <v>82</v>
      </c>
      <c r="AO65" s="357" t="s">
        <v>82</v>
      </c>
      <c r="AP65" s="356" t="s">
        <v>99</v>
      </c>
      <c r="AQ65" s="941"/>
      <c r="AR65" s="356" t="s">
        <v>156</v>
      </c>
      <c r="AS65" s="16" t="s">
        <v>157</v>
      </c>
      <c r="AT65" s="356" t="s">
        <v>158</v>
      </c>
      <c r="AU65" s="47" t="s">
        <v>159</v>
      </c>
      <c r="AV65" s="356" t="s">
        <v>160</v>
      </c>
      <c r="AW65" s="222" t="s">
        <v>161</v>
      </c>
      <c r="AX65" s="474" t="s">
        <v>162</v>
      </c>
      <c r="AY65" s="475" t="s">
        <v>268</v>
      </c>
      <c r="BA65" s="142" t="s">
        <v>164</v>
      </c>
      <c r="BB65" s="210">
        <v>1</v>
      </c>
      <c r="BC65" s="210">
        <v>2</v>
      </c>
      <c r="BD65" s="210">
        <v>3</v>
      </c>
      <c r="BE65" s="210">
        <v>4</v>
      </c>
      <c r="BF65" s="210">
        <v>5</v>
      </c>
      <c r="BG65" s="210">
        <v>6</v>
      </c>
      <c r="BH65" s="210">
        <v>7</v>
      </c>
      <c r="BI65" s="210">
        <v>8</v>
      </c>
      <c r="BJ65" s="210">
        <v>9</v>
      </c>
      <c r="BK65" s="210">
        <v>10</v>
      </c>
      <c r="BL65" s="210">
        <v>11</v>
      </c>
      <c r="BM65" s="210">
        <v>12</v>
      </c>
      <c r="BN65" s="210">
        <v>13</v>
      </c>
      <c r="BO65" s="210">
        <v>14</v>
      </c>
      <c r="BP65" s="210">
        <v>15</v>
      </c>
      <c r="BQ65" s="210">
        <v>16</v>
      </c>
      <c r="BR65" s="210">
        <v>17</v>
      </c>
      <c r="BS65" s="210">
        <v>18</v>
      </c>
      <c r="BT65" s="210">
        <v>19</v>
      </c>
      <c r="BU65" s="210">
        <v>20</v>
      </c>
      <c r="BV65" s="224" t="s">
        <v>165</v>
      </c>
      <c r="BW65" s="210" t="s">
        <v>166</v>
      </c>
      <c r="BX65" s="210" t="s">
        <v>167</v>
      </c>
    </row>
    <row r="66" spans="1:76" s="97" customFormat="1" ht="15.45" customHeight="1" x14ac:dyDescent="0.3">
      <c r="B66" s="292">
        <v>1</v>
      </c>
      <c r="C66" s="413" t="str">
        <f t="shared" ref="C66:C85" si="13">IF(D66="","",C11)</f>
        <v/>
      </c>
      <c r="D66" s="414" t="str">
        <f t="shared" ref="D66:D85" si="14">IF(OR(K11="", K11=0),"",D11)</f>
        <v/>
      </c>
      <c r="E66" s="415" t="str">
        <f t="shared" ref="E66:E85" si="15">IF(AX66="","",AX66)</f>
        <v/>
      </c>
      <c r="F66" s="876"/>
      <c r="G66" s="877"/>
      <c r="H66" s="416" t="str">
        <f t="shared" ref="H66:H85" si="16">IF(D66="","",AB66)</f>
        <v/>
      </c>
      <c r="I66" s="421" t="str">
        <f t="shared" ref="I66:I85" si="17">IF(OR(K11="",K11=0),"",K11)</f>
        <v/>
      </c>
      <c r="J66" s="944" t="str">
        <f>IF(F66="","",VLOOKUP(F66,'10. Condition and Temporal'!$B$6:$F$103,5,FALSE))</f>
        <v/>
      </c>
      <c r="K66" s="945"/>
      <c r="L66" s="35" t="str">
        <f t="shared" ref="L66:L85" si="18">IFERROR(IF(D66="","",IF(AX66="Distinctiveness",(((((I66*AH66*AJ66*AY66)-(I66*V66*X66))*(AV66*AT66))+(I66*V66*X66))*AP66)/1000,((((I66*AH66*AJ66*AY66)-(I66*V66*X66*AJ11))*(AV66*AR66))+(I66*V66*X66*AJ11))*AP66/1000)),"This intervention is not permitted within the SSM ▲")</f>
        <v/>
      </c>
      <c r="M66" s="903" t="str">
        <f t="shared" ref="M66:M85" si="19">IFERROR(IF(F66="","",L66-AD66), "Error ▲")</f>
        <v/>
      </c>
      <c r="N66" s="904"/>
      <c r="O66" s="247"/>
      <c r="P66" s="186"/>
      <c r="R66" s="649"/>
      <c r="T66" s="218" t="str">
        <f t="shared" ref="T66:T85" si="20">IF(D66="","",K11)</f>
        <v/>
      </c>
      <c r="U66" s="159" t="str">
        <f t="shared" ref="U66:U85" si="21">IF($D66="","",T11)</f>
        <v/>
      </c>
      <c r="V66" s="160" t="str">
        <f t="shared" ref="V66:X85" si="22">IF($D66="","",V11)</f>
        <v/>
      </c>
      <c r="W66" s="158" t="str">
        <f t="shared" si="22"/>
        <v/>
      </c>
      <c r="X66" s="61" t="str">
        <f t="shared" si="22"/>
        <v/>
      </c>
      <c r="Y66" s="350"/>
      <c r="Z66" s="350"/>
      <c r="AA66" s="350"/>
      <c r="AB66" s="148" t="str">
        <f t="shared" ref="AB66:AB85" si="23">IF($D66="","",AB11)</f>
        <v/>
      </c>
      <c r="AC66" s="162" t="str">
        <f t="shared" ref="AC66:AC85" si="24">IF($D66="","",AD11)</f>
        <v/>
      </c>
      <c r="AD66" s="160" t="str">
        <f t="shared" ref="AD66:AD85" si="25">IF(AC66="","",((T66*V66*X66)*AC66*AJ11)/1000)</f>
        <v/>
      </c>
      <c r="AE66" s="220" t="str">
        <f t="shared" ref="AE66:AE85" si="26">IF(AD66="","",IF(AH66&lt;V66,"Not Acceptable","Acceptable"))</f>
        <v/>
      </c>
      <c r="AF66" s="158" t="str">
        <f t="shared" ref="AF66:AF85" si="27">IF(D66="","",I66)</f>
        <v/>
      </c>
      <c r="AG66" s="159" t="str">
        <f>IF(D66="","",VLOOKUP(F66,'9. All Habitats + Multipliers'!$C$4:$K$102,5,FALSE))</f>
        <v/>
      </c>
      <c r="AH66" s="160" t="str">
        <f>IF(AG66="","",VLOOKUP(AG66,'11. Lists'!$B$47:$D$49,2,FALSE))</f>
        <v/>
      </c>
      <c r="AI66" s="159" t="str">
        <f t="shared" ref="AI66:AI85" si="28">IF(D66="","",J66)</f>
        <v/>
      </c>
      <c r="AJ66" s="471" t="str">
        <f>IF(AI66="","",VLOOKUP(AI66,'11. Lists'!$F$47:$G$51,2,FALSE))</f>
        <v/>
      </c>
      <c r="AK66" s="472"/>
      <c r="AL66" s="472"/>
      <c r="AM66" s="472"/>
      <c r="AN66" s="471" t="str">
        <f t="shared" ref="AN66:AN85" si="29">IF(H66="","",H66)</f>
        <v/>
      </c>
      <c r="AO66" s="161" t="str">
        <f>IF(AN66="","",VLOOKUP(AN66,'11. Lists'!$F$36:$H$38,2,FALSE))</f>
        <v/>
      </c>
      <c r="AP66" s="160" t="str">
        <f>IF(AN66="","",VLOOKUP(AN66,'11. Lists'!$F$36:$H$38,3,FALSE))</f>
        <v/>
      </c>
      <c r="AQ66" s="159" t="str">
        <f>IF(D66="","",IF(AX66="Distinctiveness","N/A",VLOOKUP(F66,'10. Condition and Temporal'!$B$6:$L$103,11,FALSE)))</f>
        <v/>
      </c>
      <c r="AR66" s="163" t="str">
        <f>IF(AQ66="","",IF(AQ66="N/A","1",VLOOKUP(AQ66,'11. Lists'!$I$47:$K$80,3,FALSE)))</f>
        <v/>
      </c>
      <c r="AS66" s="178" t="str">
        <f>IF(D66="","",IF(AX66="Condition","N/A",VLOOKUP(F66,'10. Condition and Temporal'!$B$6:$M$106,12,FALSE)))</f>
        <v/>
      </c>
      <c r="AT66" s="163" t="str">
        <f>IF(AS66="","",IF(AS66="N/A","1",VLOOKUP(AS66,'11. Lists'!$I$47:$K$80,3,FALSE)))</f>
        <v/>
      </c>
      <c r="AU66" s="162" t="str">
        <f>IF(D66="","",VLOOKUP(F66,'9. All Habitats + Multipliers'!$C$4:$K$102,8,FALSE))</f>
        <v/>
      </c>
      <c r="AV66" s="160" t="str">
        <f>IF(AU66="","",VLOOKUP(AU66,'11. Lists'!$J$35:$K$38,2,FALSE))</f>
        <v/>
      </c>
      <c r="AW66" s="159" t="str">
        <f>IF(D66="","",VLOOKUP(D66,'10. Condition and Temporal'!$B$6:$M$103,4,FALSE))</f>
        <v/>
      </c>
      <c r="AX66" s="456" t="str">
        <f t="shared" ref="AX66:AX85" si="30">IF(F66="","",IF(D66=F66,"Condition","Distinctiveness"))</f>
        <v/>
      </c>
      <c r="AY66" s="476" t="str" cm="1">
        <f t="array" ref="AY66:AZ85">IF($F$66:$G$85="Culvert","0.68","1")</f>
        <v>1</v>
      </c>
      <c r="AZ66" s="473" t="str">
        <v>1</v>
      </c>
      <c r="BA66" s="61">
        <v>1</v>
      </c>
      <c r="BB66" s="60" t="str">
        <f t="shared" ref="BB66:BB85" si="31">TRIM(MID(SUBSTITUTE($AW$66,$BA$62,REPT(" ",LEN($AW$66))),($BA66-1)*LEN($AW$66)+1,LEN($AW$66)))</f>
        <v/>
      </c>
      <c r="BC66" s="60" t="str">
        <f t="shared" ref="BC66:BC85" si="32">TRIM(MID(SUBSTITUTE($AW$67,$BA$62,REPT(" ",LEN($AW$67))),($BA66-1)*LEN($AW$67)+1,LEN($AW$67)))</f>
        <v/>
      </c>
      <c r="BD66" s="60" t="str">
        <f t="shared" ref="BD66:BD85" si="33">TRIM(MID(SUBSTITUTE($AW$68,$BA$62,REPT(" ",LEN($AW$68))),($BA66-1)*LEN($AW$68)+1,LEN($AW$68)))</f>
        <v/>
      </c>
      <c r="BE66" s="60" t="str">
        <f t="shared" ref="BE66:BE85" si="34">TRIM(MID(SUBSTITUTE($AW$69,$BA$62,REPT(" ",LEN($AW$69))),($BA66-1)*LEN($AW$69)+1,LEN($AW$69)))</f>
        <v/>
      </c>
      <c r="BF66" s="60" t="str">
        <f t="shared" ref="BF66:BF85" si="35">TRIM(MID(SUBSTITUTE($AW$70,$BA$62,REPT(" ",LEN($AW$70))),($BA66-1)*LEN($AW$70)+1,LEN($AW$70)))</f>
        <v/>
      </c>
      <c r="BG66" s="60" t="str">
        <f t="shared" ref="BG66:BG85" si="36">TRIM(MID(SUBSTITUTE($AW$71,$BA$62,REPT(" ",LEN($AW$71))),($BA66-1)*LEN($AW$71)+1,LEN($AW$71)))</f>
        <v/>
      </c>
      <c r="BH66" s="60" t="str">
        <f t="shared" ref="BH66:BH85" si="37">TRIM(MID(SUBSTITUTE($AW$72,$BA$62,REPT(" ",LEN($AW$72))),($BA66-1)*LEN($AW$72)+1,LEN($AW$72)))</f>
        <v/>
      </c>
      <c r="BI66" s="60" t="str">
        <f t="shared" ref="BI66:BI85" si="38">TRIM(MID(SUBSTITUTE($AW$73,$BA$62,REPT(" ",LEN($AW$73))),($BA66-1)*LEN($AW$73)+1,LEN($AW$73)))</f>
        <v/>
      </c>
      <c r="BJ66" s="60" t="str">
        <f t="shared" ref="BJ66:BJ85" si="39">TRIM(MID(SUBSTITUTE($AW$74,$BA$62,REPT(" ",LEN($AW$74))),($BA66-1)*LEN($AW$74)+1,LEN($AW$74)))</f>
        <v/>
      </c>
      <c r="BK66" s="60" t="str">
        <f t="shared" ref="BK66:BK85" si="40">TRIM(MID(SUBSTITUTE($AW$75,$BA$62,REPT(" ",LEN($AW$75))),($BA66-1)*LEN($AW$75)+1,LEN($AW$75)))</f>
        <v/>
      </c>
      <c r="BL66" s="60" t="str">
        <f t="shared" ref="BL66:BL85" si="41">TRIM(MID(SUBSTITUTE($AW$76,$BA$62,REPT(" ",LEN($AW$76))),($BA66-1)*LEN($AW$76)+1,LEN($AW$76)))</f>
        <v/>
      </c>
      <c r="BM66" s="60" t="str">
        <f t="shared" ref="BM66:BM85" si="42">TRIM(MID(SUBSTITUTE($AW$77,$BA$62,REPT(" ",LEN($AW$77))),($BA66-1)*LEN($AW$77)+1,LEN($AW$77)))</f>
        <v/>
      </c>
      <c r="BN66" s="60" t="str">
        <f t="shared" ref="BN66:BN85" si="43">TRIM(MID(SUBSTITUTE($AW$78,$BA$62,REPT(" ",LEN($AW$78))),($BA66-1)*LEN($AW$78)+1,LEN($AW$78)))</f>
        <v/>
      </c>
      <c r="BO66" s="60" t="str">
        <f t="shared" ref="BO66:BO85" si="44">TRIM(MID(SUBSTITUTE($AW$79,$BA$62,REPT(" ",LEN($AW$79))),($BA66-1)*LEN($AW$79)+1,LEN($AW$79)))</f>
        <v/>
      </c>
      <c r="BP66" s="60" t="str">
        <f t="shared" ref="BP66:BP85" si="45">TRIM(MID(SUBSTITUTE($AW$80,$BA$62,REPT(" ",LEN($AW$80))),($BA66-1)*LEN($AW$80)+1,LEN($AW$80)))</f>
        <v/>
      </c>
      <c r="BQ66" s="60" t="str">
        <f t="shared" ref="BQ66:BQ85" si="46">TRIM(MID(SUBSTITUTE($AW$81,$BA$62,REPT(" ",LEN($AW$81))),($BA66-1)*LEN($AW$81)+1,LEN($AW$81)))</f>
        <v/>
      </c>
      <c r="BR66" s="60" t="str">
        <f t="shared" ref="BR66:BR85" si="47">TRIM(MID(SUBSTITUTE($AW$82,$BA$62,REPT(" ",LEN($AW$82))),($BA66-1)*LEN($AW$82)+1,LEN($AW$82)))</f>
        <v/>
      </c>
      <c r="BS66" s="60" t="str">
        <f t="shared" ref="BS66:BS85" si="48">TRIM(MID(SUBSTITUTE($AW$83,$BA$62,REPT(" ",LEN($AW$83))),($BA66-1)*LEN($AW$83)+1,LEN($AW$83)))</f>
        <v/>
      </c>
      <c r="BT66" s="60" t="str">
        <f t="shared" ref="BT66:BT85" si="49">TRIM(MID(SUBSTITUTE($AW$84,$BA$62,REPT(" ",LEN($AW$84))),($BA66-1)*LEN($AW$84)+1,LEN($AW$84)))</f>
        <v/>
      </c>
      <c r="BU66" s="148" t="str">
        <f t="shared" ref="BU66:BU85" si="50">TRIM(MID(SUBSTITUTE($AW$85,$BA$62,REPT(" ",LEN($AW$85))),($BA66-1)*LEN($AW$85)+1,LEN($AW$85)))</f>
        <v/>
      </c>
      <c r="BV66" s="225" t="str">
        <f t="shared" ref="BV66:BV85" si="51">IF(BX66=0,"",CONCATENATE(BW66,"66:",BW66,BX66+65))</f>
        <v/>
      </c>
      <c r="BW66" s="60" t="s">
        <v>168</v>
      </c>
      <c r="BX66" s="60">
        <f>BB64</f>
        <v>0</v>
      </c>
    </row>
    <row r="67" spans="1:76" s="97" customFormat="1" ht="15.45" customHeight="1" x14ac:dyDescent="0.3">
      <c r="B67" s="286">
        <v>2</v>
      </c>
      <c r="C67" s="164" t="str">
        <f t="shared" si="13"/>
        <v/>
      </c>
      <c r="D67" s="238" t="str">
        <f t="shared" si="14"/>
        <v/>
      </c>
      <c r="E67" s="208" t="str">
        <f t="shared" si="15"/>
        <v/>
      </c>
      <c r="F67" s="733"/>
      <c r="G67" s="734"/>
      <c r="H67" s="205" t="str">
        <f t="shared" si="16"/>
        <v/>
      </c>
      <c r="I67" s="331" t="str">
        <f t="shared" si="17"/>
        <v/>
      </c>
      <c r="J67" s="925" t="str">
        <f>IF(F67="","",VLOOKUP(F67,'10. Condition and Temporal'!$B$6:$F$103,5,FALSE))</f>
        <v/>
      </c>
      <c r="K67" s="926"/>
      <c r="L67" s="25" t="str">
        <f t="shared" si="18"/>
        <v/>
      </c>
      <c r="M67" s="927" t="str">
        <f t="shared" si="19"/>
        <v/>
      </c>
      <c r="N67" s="928"/>
      <c r="O67" s="133"/>
      <c r="P67" s="85"/>
      <c r="R67" s="649"/>
      <c r="T67" s="218" t="str">
        <f t="shared" si="20"/>
        <v/>
      </c>
      <c r="U67" s="159" t="str">
        <f t="shared" si="21"/>
        <v/>
      </c>
      <c r="V67" s="160" t="str">
        <f t="shared" si="22"/>
        <v/>
      </c>
      <c r="W67" s="158" t="str">
        <f t="shared" si="22"/>
        <v/>
      </c>
      <c r="X67" s="61" t="str">
        <f t="shared" si="22"/>
        <v/>
      </c>
      <c r="Y67" s="350"/>
      <c r="Z67" s="350"/>
      <c r="AA67" s="350"/>
      <c r="AB67" s="148" t="str">
        <f t="shared" si="23"/>
        <v/>
      </c>
      <c r="AC67" s="162" t="str">
        <f t="shared" si="24"/>
        <v/>
      </c>
      <c r="AD67" s="160" t="str">
        <f t="shared" si="25"/>
        <v/>
      </c>
      <c r="AE67" s="220" t="str">
        <f t="shared" si="26"/>
        <v/>
      </c>
      <c r="AF67" s="158" t="str">
        <f t="shared" si="27"/>
        <v/>
      </c>
      <c r="AG67" s="159" t="str">
        <f>IF(D67="","",VLOOKUP(F67,'9. All Habitats + Multipliers'!$C$4:$K$102,5,FALSE))</f>
        <v/>
      </c>
      <c r="AH67" s="160" t="str">
        <f>IF(AG67="","",VLOOKUP(AG67,'11. Lists'!$B$47:$D$49,2,FALSE))</f>
        <v/>
      </c>
      <c r="AI67" s="159" t="str">
        <f t="shared" si="28"/>
        <v/>
      </c>
      <c r="AJ67" s="471" t="str">
        <f>IF(AI67="","",VLOOKUP(AI67,'11. Lists'!$F$47:$G$51,2,FALSE))</f>
        <v/>
      </c>
      <c r="AK67" s="472"/>
      <c r="AL67" s="472"/>
      <c r="AM67" s="472"/>
      <c r="AN67" s="471" t="str">
        <f t="shared" si="29"/>
        <v/>
      </c>
      <c r="AO67" s="161" t="str">
        <f>IF(AN67="","",VLOOKUP(AN67,'11. Lists'!$F$36:$H$38,2,FALSE))</f>
        <v/>
      </c>
      <c r="AP67" s="160" t="str">
        <f>IF(AN67="","",VLOOKUP(AN67,'11. Lists'!$F$36:$H$38,3,FALSE))</f>
        <v/>
      </c>
      <c r="AQ67" s="159" t="str">
        <f>IF(D67="","",IF(AX67="Distinctiveness","N/A",VLOOKUP(F67,'10. Condition and Temporal'!$B$6:$L$103,11,FALSE)))</f>
        <v/>
      </c>
      <c r="AR67" s="163" t="str">
        <f>IF(AQ67="","",IF(AQ67="N/A","1",VLOOKUP(AQ67,'11. Lists'!$I$47:$K$80,3,FALSE)))</f>
        <v/>
      </c>
      <c r="AS67" s="178" t="str">
        <f>IF(D67="","",IF(AX67="Condition","N/A",VLOOKUP(F67,'10. Condition and Temporal'!$B$6:$M$106,12,FALSE)))</f>
        <v/>
      </c>
      <c r="AT67" s="163" t="str">
        <f>IF(AS67="","",IF(AS67="N/A","1",VLOOKUP(AS67,'11. Lists'!$I$47:$K$80,3,FALSE)))</f>
        <v/>
      </c>
      <c r="AU67" s="162" t="str">
        <f>IF(D67="","",VLOOKUP(F67,'9. All Habitats + Multipliers'!$C$4:$K$102,8,FALSE))</f>
        <v/>
      </c>
      <c r="AV67" s="160" t="str">
        <f>IF(AU67="","",VLOOKUP(AU67,'11. Lists'!$J$35:$K$38,2,FALSE))</f>
        <v/>
      </c>
      <c r="AW67" s="159" t="str">
        <f>IF(D67="","",VLOOKUP(D67,'10. Condition and Temporal'!$B$6:$M$103,4,FALSE))</f>
        <v/>
      </c>
      <c r="AX67" s="456" t="str">
        <f t="shared" si="30"/>
        <v/>
      </c>
      <c r="AY67" s="476" t="str">
        <v>1</v>
      </c>
      <c r="AZ67" s="473" t="str">
        <v>1</v>
      </c>
      <c r="BA67" s="61">
        <v>2</v>
      </c>
      <c r="BB67" s="60" t="str">
        <f t="shared" si="31"/>
        <v/>
      </c>
      <c r="BC67" s="60" t="str">
        <f t="shared" si="32"/>
        <v/>
      </c>
      <c r="BD67" s="60" t="str">
        <f t="shared" si="33"/>
        <v/>
      </c>
      <c r="BE67" s="60" t="str">
        <f t="shared" si="34"/>
        <v/>
      </c>
      <c r="BF67" s="60" t="str">
        <f t="shared" si="35"/>
        <v/>
      </c>
      <c r="BG67" s="60" t="str">
        <f t="shared" si="36"/>
        <v/>
      </c>
      <c r="BH67" s="60" t="str">
        <f t="shared" si="37"/>
        <v/>
      </c>
      <c r="BI67" s="60" t="str">
        <f t="shared" si="38"/>
        <v/>
      </c>
      <c r="BJ67" s="60" t="str">
        <f t="shared" si="39"/>
        <v/>
      </c>
      <c r="BK67" s="60" t="str">
        <f t="shared" si="40"/>
        <v/>
      </c>
      <c r="BL67" s="60" t="str">
        <f t="shared" si="41"/>
        <v/>
      </c>
      <c r="BM67" s="60" t="str">
        <f t="shared" si="42"/>
        <v/>
      </c>
      <c r="BN67" s="60" t="str">
        <f t="shared" si="43"/>
        <v/>
      </c>
      <c r="BO67" s="60" t="str">
        <f t="shared" si="44"/>
        <v/>
      </c>
      <c r="BP67" s="60" t="str">
        <f t="shared" si="45"/>
        <v/>
      </c>
      <c r="BQ67" s="60" t="str">
        <f t="shared" si="46"/>
        <v/>
      </c>
      <c r="BR67" s="60" t="str">
        <f t="shared" si="47"/>
        <v/>
      </c>
      <c r="BS67" s="60" t="str">
        <f t="shared" si="48"/>
        <v/>
      </c>
      <c r="BT67" s="60" t="str">
        <f t="shared" si="49"/>
        <v/>
      </c>
      <c r="BU67" s="148" t="str">
        <f t="shared" si="50"/>
        <v/>
      </c>
      <c r="BV67" s="225" t="str">
        <f t="shared" si="51"/>
        <v/>
      </c>
      <c r="BW67" s="60" t="s">
        <v>169</v>
      </c>
      <c r="BX67" s="60">
        <f>BC64</f>
        <v>0</v>
      </c>
    </row>
    <row r="68" spans="1:76" s="97" customFormat="1" ht="15.45" customHeight="1" x14ac:dyDescent="0.3">
      <c r="B68" s="286">
        <v>3</v>
      </c>
      <c r="C68" s="164" t="str">
        <f t="shared" si="13"/>
        <v/>
      </c>
      <c r="D68" s="238" t="str">
        <f t="shared" si="14"/>
        <v/>
      </c>
      <c r="E68" s="208" t="str">
        <f t="shared" si="15"/>
        <v/>
      </c>
      <c r="F68" s="733"/>
      <c r="G68" s="734"/>
      <c r="H68" s="205" t="str">
        <f t="shared" si="16"/>
        <v/>
      </c>
      <c r="I68" s="331" t="str">
        <f t="shared" si="17"/>
        <v/>
      </c>
      <c r="J68" s="925" t="str">
        <f>IF(F68="","",VLOOKUP(F68,'10. Condition and Temporal'!$B$6:$F$103,5,FALSE))</f>
        <v/>
      </c>
      <c r="K68" s="926"/>
      <c r="L68" s="25" t="str">
        <f t="shared" si="18"/>
        <v/>
      </c>
      <c r="M68" s="927" t="str">
        <f t="shared" si="19"/>
        <v/>
      </c>
      <c r="N68" s="928"/>
      <c r="O68" s="133"/>
      <c r="P68" s="85"/>
      <c r="R68" s="649"/>
      <c r="T68" s="218" t="str">
        <f t="shared" si="20"/>
        <v/>
      </c>
      <c r="U68" s="159" t="str">
        <f t="shared" si="21"/>
        <v/>
      </c>
      <c r="V68" s="160" t="str">
        <f t="shared" si="22"/>
        <v/>
      </c>
      <c r="W68" s="158" t="str">
        <f t="shared" si="22"/>
        <v/>
      </c>
      <c r="X68" s="61" t="str">
        <f t="shared" si="22"/>
        <v/>
      </c>
      <c r="Y68" s="350"/>
      <c r="Z68" s="350"/>
      <c r="AA68" s="350"/>
      <c r="AB68" s="148" t="str">
        <f t="shared" si="23"/>
        <v/>
      </c>
      <c r="AC68" s="162" t="str">
        <f t="shared" si="24"/>
        <v/>
      </c>
      <c r="AD68" s="160" t="str">
        <f t="shared" si="25"/>
        <v/>
      </c>
      <c r="AE68" s="220" t="str">
        <f t="shared" si="26"/>
        <v/>
      </c>
      <c r="AF68" s="158" t="str">
        <f t="shared" si="27"/>
        <v/>
      </c>
      <c r="AG68" s="159" t="str">
        <f>IF(D68="","",VLOOKUP(F68,'9. All Habitats + Multipliers'!$C$4:$K$102,5,FALSE))</f>
        <v/>
      </c>
      <c r="AH68" s="160" t="str">
        <f>IF(AG68="","",VLOOKUP(AG68,'11. Lists'!$B$47:$D$49,2,FALSE))</f>
        <v/>
      </c>
      <c r="AI68" s="159" t="str">
        <f t="shared" si="28"/>
        <v/>
      </c>
      <c r="AJ68" s="471" t="str">
        <f>IF(AI68="","",VLOOKUP(AI68,'11. Lists'!$F$47:$G$51,2,FALSE))</f>
        <v/>
      </c>
      <c r="AK68" s="472"/>
      <c r="AL68" s="472"/>
      <c r="AM68" s="472"/>
      <c r="AN68" s="471" t="str">
        <f t="shared" si="29"/>
        <v/>
      </c>
      <c r="AO68" s="161" t="str">
        <f>IF(AN68="","",VLOOKUP(AN68,'11. Lists'!$F$36:$H$38,2,FALSE))</f>
        <v/>
      </c>
      <c r="AP68" s="160" t="str">
        <f>IF(AN68="","",VLOOKUP(AN68,'11. Lists'!$F$36:$H$38,3,FALSE))</f>
        <v/>
      </c>
      <c r="AQ68" s="159" t="str">
        <f>IF(D68="","",IF(AX68="Distinctiveness","N/A",VLOOKUP(F68,'10. Condition and Temporal'!$B$6:$L$103,11,FALSE)))</f>
        <v/>
      </c>
      <c r="AR68" s="163" t="str">
        <f>IF(AQ68="","",IF(AQ68="N/A","1",VLOOKUP(AQ68,'11. Lists'!$I$47:$K$80,3,FALSE)))</f>
        <v/>
      </c>
      <c r="AS68" s="178" t="str">
        <f>IF(D68="","",IF(AX68="Condition","N/A",VLOOKUP(F68,'10. Condition and Temporal'!$B$6:$M$106,12,FALSE)))</f>
        <v/>
      </c>
      <c r="AT68" s="163" t="str">
        <f>IF(AS68="","",IF(AS68="N/A","1",VLOOKUP(AS68,'11. Lists'!$I$47:$K$80,3,FALSE)))</f>
        <v/>
      </c>
      <c r="AU68" s="162" t="str">
        <f>IF(D68="","",VLOOKUP(F68,'9. All Habitats + Multipliers'!$C$4:$K$102,8,FALSE))</f>
        <v/>
      </c>
      <c r="AV68" s="160" t="str">
        <f>IF(AU68="","",VLOOKUP(AU68,'11. Lists'!$J$35:$K$38,2,FALSE))</f>
        <v/>
      </c>
      <c r="AW68" s="159" t="str">
        <f>IF(D68="","",VLOOKUP(D68,'10. Condition and Temporal'!$B$6:$M$103,4,FALSE))</f>
        <v/>
      </c>
      <c r="AX68" s="456" t="str">
        <f t="shared" si="30"/>
        <v/>
      </c>
      <c r="AY68" s="476" t="str">
        <v>1</v>
      </c>
      <c r="AZ68" s="473" t="str">
        <v>1</v>
      </c>
      <c r="BA68" s="61">
        <v>3</v>
      </c>
      <c r="BB68" s="60" t="str">
        <f t="shared" si="31"/>
        <v/>
      </c>
      <c r="BC68" s="60" t="str">
        <f t="shared" si="32"/>
        <v/>
      </c>
      <c r="BD68" s="60" t="str">
        <f t="shared" si="33"/>
        <v/>
      </c>
      <c r="BE68" s="60" t="str">
        <f t="shared" si="34"/>
        <v/>
      </c>
      <c r="BF68" s="60" t="str">
        <f t="shared" si="35"/>
        <v/>
      </c>
      <c r="BG68" s="60" t="str">
        <f t="shared" si="36"/>
        <v/>
      </c>
      <c r="BH68" s="60" t="str">
        <f t="shared" si="37"/>
        <v/>
      </c>
      <c r="BI68" s="60" t="str">
        <f t="shared" si="38"/>
        <v/>
      </c>
      <c r="BJ68" s="60" t="str">
        <f t="shared" si="39"/>
        <v/>
      </c>
      <c r="BK68" s="60" t="str">
        <f t="shared" si="40"/>
        <v/>
      </c>
      <c r="BL68" s="60" t="str">
        <f t="shared" si="41"/>
        <v/>
      </c>
      <c r="BM68" s="60" t="str">
        <f t="shared" si="42"/>
        <v/>
      </c>
      <c r="BN68" s="60" t="str">
        <f t="shared" si="43"/>
        <v/>
      </c>
      <c r="BO68" s="60" t="str">
        <f t="shared" si="44"/>
        <v/>
      </c>
      <c r="BP68" s="60" t="str">
        <f t="shared" si="45"/>
        <v/>
      </c>
      <c r="BQ68" s="60" t="str">
        <f t="shared" si="46"/>
        <v/>
      </c>
      <c r="BR68" s="60" t="str">
        <f t="shared" si="47"/>
        <v/>
      </c>
      <c r="BS68" s="60" t="str">
        <f t="shared" si="48"/>
        <v/>
      </c>
      <c r="BT68" s="60" t="str">
        <f t="shared" si="49"/>
        <v/>
      </c>
      <c r="BU68" s="148" t="str">
        <f t="shared" si="50"/>
        <v/>
      </c>
      <c r="BV68" s="225" t="str">
        <f t="shared" si="51"/>
        <v/>
      </c>
      <c r="BW68" s="60" t="s">
        <v>170</v>
      </c>
      <c r="BX68" s="60">
        <f>BD64</f>
        <v>0</v>
      </c>
    </row>
    <row r="69" spans="1:76" s="97" customFormat="1" ht="15.45" customHeight="1" x14ac:dyDescent="0.3">
      <c r="B69" s="286">
        <v>4</v>
      </c>
      <c r="C69" s="164" t="str">
        <f t="shared" si="13"/>
        <v/>
      </c>
      <c r="D69" s="238" t="str">
        <f t="shared" si="14"/>
        <v/>
      </c>
      <c r="E69" s="208" t="str">
        <f t="shared" si="15"/>
        <v/>
      </c>
      <c r="F69" s="733"/>
      <c r="G69" s="734"/>
      <c r="H69" s="205" t="str">
        <f t="shared" si="16"/>
        <v/>
      </c>
      <c r="I69" s="331" t="str">
        <f t="shared" si="17"/>
        <v/>
      </c>
      <c r="J69" s="925" t="str">
        <f>IF(F69="","",VLOOKUP(F69,'10. Condition and Temporal'!$B$6:$F$103,5,FALSE))</f>
        <v/>
      </c>
      <c r="K69" s="926"/>
      <c r="L69" s="25" t="str">
        <f t="shared" si="18"/>
        <v/>
      </c>
      <c r="M69" s="927" t="str">
        <f t="shared" si="19"/>
        <v/>
      </c>
      <c r="N69" s="928"/>
      <c r="O69" s="133"/>
      <c r="P69" s="85"/>
      <c r="R69" s="649"/>
      <c r="T69" s="218" t="str">
        <f t="shared" si="20"/>
        <v/>
      </c>
      <c r="U69" s="159" t="str">
        <f t="shared" si="21"/>
        <v/>
      </c>
      <c r="V69" s="160" t="str">
        <f t="shared" si="22"/>
        <v/>
      </c>
      <c r="W69" s="158" t="str">
        <f t="shared" si="22"/>
        <v/>
      </c>
      <c r="X69" s="61" t="str">
        <f t="shared" si="22"/>
        <v/>
      </c>
      <c r="Y69" s="350"/>
      <c r="Z69" s="350"/>
      <c r="AA69" s="350"/>
      <c r="AB69" s="148" t="str">
        <f t="shared" si="23"/>
        <v/>
      </c>
      <c r="AC69" s="162" t="str">
        <f t="shared" si="24"/>
        <v/>
      </c>
      <c r="AD69" s="160" t="str">
        <f t="shared" si="25"/>
        <v/>
      </c>
      <c r="AE69" s="220" t="str">
        <f t="shared" si="26"/>
        <v/>
      </c>
      <c r="AF69" s="158" t="str">
        <f t="shared" si="27"/>
        <v/>
      </c>
      <c r="AG69" s="159" t="str">
        <f>IF(D69="","",VLOOKUP(F69,'9. All Habitats + Multipliers'!$C$4:$K$102,5,FALSE))</f>
        <v/>
      </c>
      <c r="AH69" s="160" t="str">
        <f>IF(AG69="","",VLOOKUP(AG69,'11. Lists'!$B$47:$D$49,2,FALSE))</f>
        <v/>
      </c>
      <c r="AI69" s="159" t="str">
        <f t="shared" si="28"/>
        <v/>
      </c>
      <c r="AJ69" s="471" t="str">
        <f>IF(AI69="","",VLOOKUP(AI69,'11. Lists'!$F$47:$G$51,2,FALSE))</f>
        <v/>
      </c>
      <c r="AK69" s="472"/>
      <c r="AL69" s="472"/>
      <c r="AM69" s="472"/>
      <c r="AN69" s="471" t="str">
        <f t="shared" si="29"/>
        <v/>
      </c>
      <c r="AO69" s="161" t="str">
        <f>IF(AN69="","",VLOOKUP(AN69,'11. Lists'!$F$36:$H$38,2,FALSE))</f>
        <v/>
      </c>
      <c r="AP69" s="160" t="str">
        <f>IF(AN69="","",VLOOKUP(AN69,'11. Lists'!$F$36:$H$38,3,FALSE))</f>
        <v/>
      </c>
      <c r="AQ69" s="159" t="str">
        <f>IF(D69="","",IF(AX69="Distinctiveness","N/A",VLOOKUP(F69,'10. Condition and Temporal'!$B$6:$L$103,11,FALSE)))</f>
        <v/>
      </c>
      <c r="AR69" s="163" t="str">
        <f>IF(AQ69="","",IF(AQ69="N/A","1",VLOOKUP(AQ69,'11. Lists'!$I$47:$K$80,3,FALSE)))</f>
        <v/>
      </c>
      <c r="AS69" s="178" t="str">
        <f>IF(D69="","",IF(AX69="Condition","N/A",VLOOKUP(F69,'10. Condition and Temporal'!$B$6:$M$106,12,FALSE)))</f>
        <v/>
      </c>
      <c r="AT69" s="163" t="str">
        <f>IF(AS69="","",IF(AS69="N/A","1",VLOOKUP(AS69,'11. Lists'!$I$47:$K$80,3,FALSE)))</f>
        <v/>
      </c>
      <c r="AU69" s="162" t="str">
        <f>IF(D69="","",VLOOKUP(F69,'9. All Habitats + Multipliers'!$C$4:$K$102,8,FALSE))</f>
        <v/>
      </c>
      <c r="AV69" s="160" t="str">
        <f>IF(AU69="","",VLOOKUP(AU69,'11. Lists'!$J$35:$K$38,2,FALSE))</f>
        <v/>
      </c>
      <c r="AW69" s="159" t="str">
        <f>IF(D69="","",VLOOKUP(D69,'10. Condition and Temporal'!$B$6:$M$103,4,FALSE))</f>
        <v/>
      </c>
      <c r="AX69" s="456" t="str">
        <f t="shared" si="30"/>
        <v/>
      </c>
      <c r="AY69" s="476" t="str">
        <v>1</v>
      </c>
      <c r="AZ69" s="473" t="str">
        <v>1</v>
      </c>
      <c r="BA69" s="61">
        <v>4</v>
      </c>
      <c r="BB69" s="60" t="str">
        <f t="shared" si="31"/>
        <v/>
      </c>
      <c r="BC69" s="60" t="str">
        <f t="shared" si="32"/>
        <v/>
      </c>
      <c r="BD69" s="60" t="str">
        <f t="shared" si="33"/>
        <v/>
      </c>
      <c r="BE69" s="60" t="str">
        <f t="shared" si="34"/>
        <v/>
      </c>
      <c r="BF69" s="60" t="str">
        <f t="shared" si="35"/>
        <v/>
      </c>
      <c r="BG69" s="60" t="str">
        <f t="shared" si="36"/>
        <v/>
      </c>
      <c r="BH69" s="60" t="str">
        <f t="shared" si="37"/>
        <v/>
      </c>
      <c r="BI69" s="60" t="str">
        <f t="shared" si="38"/>
        <v/>
      </c>
      <c r="BJ69" s="60" t="str">
        <f t="shared" si="39"/>
        <v/>
      </c>
      <c r="BK69" s="60" t="str">
        <f t="shared" si="40"/>
        <v/>
      </c>
      <c r="BL69" s="60" t="str">
        <f t="shared" si="41"/>
        <v/>
      </c>
      <c r="BM69" s="60" t="str">
        <f t="shared" si="42"/>
        <v/>
      </c>
      <c r="BN69" s="60" t="str">
        <f t="shared" si="43"/>
        <v/>
      </c>
      <c r="BO69" s="60" t="str">
        <f t="shared" si="44"/>
        <v/>
      </c>
      <c r="BP69" s="60" t="str">
        <f t="shared" si="45"/>
        <v/>
      </c>
      <c r="BQ69" s="60" t="str">
        <f t="shared" si="46"/>
        <v/>
      </c>
      <c r="BR69" s="60" t="str">
        <f t="shared" si="47"/>
        <v/>
      </c>
      <c r="BS69" s="60" t="str">
        <f t="shared" si="48"/>
        <v/>
      </c>
      <c r="BT69" s="60" t="str">
        <f t="shared" si="49"/>
        <v/>
      </c>
      <c r="BU69" s="148" t="str">
        <f t="shared" si="50"/>
        <v/>
      </c>
      <c r="BV69" s="225" t="str">
        <f t="shared" si="51"/>
        <v/>
      </c>
      <c r="BW69" s="60" t="s">
        <v>171</v>
      </c>
      <c r="BX69" s="60">
        <f>BE64</f>
        <v>0</v>
      </c>
    </row>
    <row r="70" spans="1:76" s="97" customFormat="1" ht="15.75" customHeight="1" x14ac:dyDescent="0.3">
      <c r="B70" s="286">
        <v>5</v>
      </c>
      <c r="C70" s="164" t="str">
        <f t="shared" si="13"/>
        <v/>
      </c>
      <c r="D70" s="238" t="str">
        <f t="shared" si="14"/>
        <v/>
      </c>
      <c r="E70" s="208" t="str">
        <f t="shared" si="15"/>
        <v/>
      </c>
      <c r="F70" s="733"/>
      <c r="G70" s="734"/>
      <c r="H70" s="205" t="str">
        <f t="shared" si="16"/>
        <v/>
      </c>
      <c r="I70" s="331" t="str">
        <f t="shared" si="17"/>
        <v/>
      </c>
      <c r="J70" s="925" t="str">
        <f>IF(F70="","",VLOOKUP(F70,'10. Condition and Temporal'!$B$6:$F$103,5,FALSE))</f>
        <v/>
      </c>
      <c r="K70" s="926"/>
      <c r="L70" s="25" t="str">
        <f t="shared" si="18"/>
        <v/>
      </c>
      <c r="M70" s="927" t="str">
        <f t="shared" si="19"/>
        <v/>
      </c>
      <c r="N70" s="928"/>
      <c r="O70" s="133"/>
      <c r="P70" s="85"/>
      <c r="R70" s="649"/>
      <c r="T70" s="218" t="str">
        <f t="shared" si="20"/>
        <v/>
      </c>
      <c r="U70" s="159" t="str">
        <f t="shared" si="21"/>
        <v/>
      </c>
      <c r="V70" s="160" t="str">
        <f t="shared" si="22"/>
        <v/>
      </c>
      <c r="W70" s="158" t="str">
        <f t="shared" si="22"/>
        <v/>
      </c>
      <c r="X70" s="61" t="str">
        <f t="shared" si="22"/>
        <v/>
      </c>
      <c r="Y70" s="350"/>
      <c r="Z70" s="350"/>
      <c r="AA70" s="350"/>
      <c r="AB70" s="148" t="str">
        <f t="shared" si="23"/>
        <v/>
      </c>
      <c r="AC70" s="162" t="str">
        <f t="shared" si="24"/>
        <v/>
      </c>
      <c r="AD70" s="160" t="str">
        <f t="shared" si="25"/>
        <v/>
      </c>
      <c r="AE70" s="220" t="str">
        <f t="shared" si="26"/>
        <v/>
      </c>
      <c r="AF70" s="158" t="str">
        <f t="shared" si="27"/>
        <v/>
      </c>
      <c r="AG70" s="159" t="str">
        <f>IF(D70="","",VLOOKUP(F70,'9. All Habitats + Multipliers'!$C$4:$K$102,5,FALSE))</f>
        <v/>
      </c>
      <c r="AH70" s="160" t="str">
        <f>IF(AG70="","",VLOOKUP(AG70,'11. Lists'!$B$47:$D$49,2,FALSE))</f>
        <v/>
      </c>
      <c r="AI70" s="159" t="str">
        <f t="shared" si="28"/>
        <v/>
      </c>
      <c r="AJ70" s="471" t="str">
        <f>IF(AI70="","",VLOOKUP(AI70,'11. Lists'!$F$47:$G$51,2,FALSE))</f>
        <v/>
      </c>
      <c r="AK70" s="472"/>
      <c r="AL70" s="472"/>
      <c r="AM70" s="472"/>
      <c r="AN70" s="471" t="str">
        <f t="shared" si="29"/>
        <v/>
      </c>
      <c r="AO70" s="161" t="str">
        <f>IF(AN70="","",VLOOKUP(AN70,'11. Lists'!$F$36:$H$38,2,FALSE))</f>
        <v/>
      </c>
      <c r="AP70" s="160" t="str">
        <f>IF(AN70="","",VLOOKUP(AN70,'11. Lists'!$F$36:$H$38,3,FALSE))</f>
        <v/>
      </c>
      <c r="AQ70" s="159" t="str">
        <f>IF(D70="","",IF(AX70="Distinctiveness","N/A",VLOOKUP(F70,'10. Condition and Temporal'!$B$6:$L$103,11,FALSE)))</f>
        <v/>
      </c>
      <c r="AR70" s="163" t="str">
        <f>IF(AQ70="","",IF(AQ70="N/A","1",VLOOKUP(AQ70,'11. Lists'!$I$47:$K$80,3,FALSE)))</f>
        <v/>
      </c>
      <c r="AS70" s="178" t="str">
        <f>IF(D70="","",IF(AX70="Condition","N/A",VLOOKUP(F70,'10. Condition and Temporal'!$B$6:$M$106,12,FALSE)))</f>
        <v/>
      </c>
      <c r="AT70" s="163" t="str">
        <f>IF(AS70="","",IF(AS70="N/A","1",VLOOKUP(AS70,'11. Lists'!$I$47:$K$80,3,FALSE)))</f>
        <v/>
      </c>
      <c r="AU70" s="162" t="str">
        <f>IF(D70="","",VLOOKUP(F70,'9. All Habitats + Multipliers'!$C$4:$K$102,8,FALSE))</f>
        <v/>
      </c>
      <c r="AV70" s="160" t="str">
        <f>IF(AU70="","",VLOOKUP(AU70,'11. Lists'!$J$35:$K$38,2,FALSE))</f>
        <v/>
      </c>
      <c r="AW70" s="159" t="str">
        <f>IF(D70="","",VLOOKUP(D70,'10. Condition and Temporal'!$B$6:$M$103,4,FALSE))</f>
        <v/>
      </c>
      <c r="AX70" s="456" t="str">
        <f t="shared" si="30"/>
        <v/>
      </c>
      <c r="AY70" s="476" t="str">
        <v>1</v>
      </c>
      <c r="AZ70" s="473" t="str">
        <v>1</v>
      </c>
      <c r="BA70" s="61">
        <v>5</v>
      </c>
      <c r="BB70" s="60" t="str">
        <f t="shared" si="31"/>
        <v/>
      </c>
      <c r="BC70" s="60" t="str">
        <f t="shared" si="32"/>
        <v/>
      </c>
      <c r="BD70" s="60" t="str">
        <f t="shared" si="33"/>
        <v/>
      </c>
      <c r="BE70" s="60" t="str">
        <f t="shared" si="34"/>
        <v/>
      </c>
      <c r="BF70" s="60" t="str">
        <f t="shared" si="35"/>
        <v/>
      </c>
      <c r="BG70" s="60" t="str">
        <f t="shared" si="36"/>
        <v/>
      </c>
      <c r="BH70" s="60" t="str">
        <f t="shared" si="37"/>
        <v/>
      </c>
      <c r="BI70" s="60" t="str">
        <f t="shared" si="38"/>
        <v/>
      </c>
      <c r="BJ70" s="60" t="str">
        <f t="shared" si="39"/>
        <v/>
      </c>
      <c r="BK70" s="60" t="str">
        <f t="shared" si="40"/>
        <v/>
      </c>
      <c r="BL70" s="60" t="str">
        <f t="shared" si="41"/>
        <v/>
      </c>
      <c r="BM70" s="60" t="str">
        <f t="shared" si="42"/>
        <v/>
      </c>
      <c r="BN70" s="60" t="str">
        <f t="shared" si="43"/>
        <v/>
      </c>
      <c r="BO70" s="60" t="str">
        <f t="shared" si="44"/>
        <v/>
      </c>
      <c r="BP70" s="60" t="str">
        <f t="shared" si="45"/>
        <v/>
      </c>
      <c r="BQ70" s="60" t="str">
        <f t="shared" si="46"/>
        <v/>
      </c>
      <c r="BR70" s="60" t="str">
        <f t="shared" si="47"/>
        <v/>
      </c>
      <c r="BS70" s="60" t="str">
        <f t="shared" si="48"/>
        <v/>
      </c>
      <c r="BT70" s="60" t="str">
        <f t="shared" si="49"/>
        <v/>
      </c>
      <c r="BU70" s="148" t="str">
        <f t="shared" si="50"/>
        <v/>
      </c>
      <c r="BV70" s="225" t="str">
        <f t="shared" si="51"/>
        <v/>
      </c>
      <c r="BW70" s="60" t="s">
        <v>172</v>
      </c>
      <c r="BX70" s="60">
        <f>BF64</f>
        <v>0</v>
      </c>
    </row>
    <row r="71" spans="1:76" s="97" customFormat="1" ht="15.75" customHeight="1" x14ac:dyDescent="0.3">
      <c r="B71" s="286">
        <v>6</v>
      </c>
      <c r="C71" s="164" t="str">
        <f t="shared" si="13"/>
        <v/>
      </c>
      <c r="D71" s="238" t="str">
        <f t="shared" si="14"/>
        <v/>
      </c>
      <c r="E71" s="208" t="str">
        <f t="shared" si="15"/>
        <v/>
      </c>
      <c r="F71" s="733"/>
      <c r="G71" s="734"/>
      <c r="H71" s="205" t="str">
        <f t="shared" si="16"/>
        <v/>
      </c>
      <c r="I71" s="331" t="str">
        <f t="shared" si="17"/>
        <v/>
      </c>
      <c r="J71" s="925" t="str">
        <f>IF(F71="","",VLOOKUP(F71,'10. Condition and Temporal'!$B$6:$F$103,5,FALSE))</f>
        <v/>
      </c>
      <c r="K71" s="926"/>
      <c r="L71" s="25" t="str">
        <f t="shared" si="18"/>
        <v/>
      </c>
      <c r="M71" s="927" t="str">
        <f t="shared" si="19"/>
        <v/>
      </c>
      <c r="N71" s="928"/>
      <c r="O71" s="133"/>
      <c r="P71" s="85"/>
      <c r="R71" s="649"/>
      <c r="T71" s="218" t="str">
        <f t="shared" si="20"/>
        <v/>
      </c>
      <c r="U71" s="159" t="str">
        <f t="shared" si="21"/>
        <v/>
      </c>
      <c r="V71" s="160" t="str">
        <f t="shared" si="22"/>
        <v/>
      </c>
      <c r="W71" s="158" t="str">
        <f t="shared" si="22"/>
        <v/>
      </c>
      <c r="X71" s="61" t="str">
        <f t="shared" si="22"/>
        <v/>
      </c>
      <c r="Y71" s="350"/>
      <c r="Z71" s="350"/>
      <c r="AA71" s="350"/>
      <c r="AB71" s="148" t="str">
        <f t="shared" si="23"/>
        <v/>
      </c>
      <c r="AC71" s="162" t="str">
        <f t="shared" si="24"/>
        <v/>
      </c>
      <c r="AD71" s="160" t="str">
        <f t="shared" si="25"/>
        <v/>
      </c>
      <c r="AE71" s="220" t="str">
        <f t="shared" si="26"/>
        <v/>
      </c>
      <c r="AF71" s="158" t="str">
        <f t="shared" si="27"/>
        <v/>
      </c>
      <c r="AG71" s="159" t="str">
        <f>IF(D71="","",VLOOKUP(F71,'9. All Habitats + Multipliers'!$C$4:$K$102,5,FALSE))</f>
        <v/>
      </c>
      <c r="AH71" s="160" t="str">
        <f>IF(AG71="","",VLOOKUP(AG71,'11. Lists'!$B$47:$D$49,2,FALSE))</f>
        <v/>
      </c>
      <c r="AI71" s="159" t="str">
        <f t="shared" si="28"/>
        <v/>
      </c>
      <c r="AJ71" s="471" t="str">
        <f>IF(AI71="","",VLOOKUP(AI71,'11. Lists'!$F$47:$G$51,2,FALSE))</f>
        <v/>
      </c>
      <c r="AK71" s="472"/>
      <c r="AL71" s="472"/>
      <c r="AM71" s="472"/>
      <c r="AN71" s="471" t="str">
        <f t="shared" si="29"/>
        <v/>
      </c>
      <c r="AO71" s="161" t="str">
        <f>IF(AN71="","",VLOOKUP(AN71,'11. Lists'!$F$36:$H$38,2,FALSE))</f>
        <v/>
      </c>
      <c r="AP71" s="160" t="str">
        <f>IF(AN71="","",VLOOKUP(AN71,'11. Lists'!$F$36:$H$38,3,FALSE))</f>
        <v/>
      </c>
      <c r="AQ71" s="159" t="str">
        <f>IF(D71="","",IF(AX71="Distinctiveness","N/A",VLOOKUP(F71,'10. Condition and Temporal'!$B$6:$L$103,11,FALSE)))</f>
        <v/>
      </c>
      <c r="AR71" s="163" t="str">
        <f>IF(AQ71="","",IF(AQ71="N/A","1",VLOOKUP(AQ71,'11. Lists'!$I$47:$K$80,3,FALSE)))</f>
        <v/>
      </c>
      <c r="AS71" s="178" t="str">
        <f>IF(D71="","",IF(AX71="Condition","N/A",VLOOKUP(F71,'10. Condition and Temporal'!$B$6:$M$106,12,FALSE)))</f>
        <v/>
      </c>
      <c r="AT71" s="163" t="str">
        <f>IF(AS71="","",IF(AS71="N/A","1",VLOOKUP(AS71,'11. Lists'!$I$47:$K$80,3,FALSE)))</f>
        <v/>
      </c>
      <c r="AU71" s="162" t="str">
        <f>IF(D71="","",VLOOKUP(F71,'9. All Habitats + Multipliers'!$C$4:$K$102,8,FALSE))</f>
        <v/>
      </c>
      <c r="AV71" s="160" t="str">
        <f>IF(AU71="","",VLOOKUP(AU71,'11. Lists'!$J$35:$K$38,2,FALSE))</f>
        <v/>
      </c>
      <c r="AW71" s="159" t="str">
        <f>IF(D71="","",VLOOKUP(D71,'10. Condition and Temporal'!$B$6:$M$103,4,FALSE))</f>
        <v/>
      </c>
      <c r="AX71" s="456" t="str">
        <f t="shared" si="30"/>
        <v/>
      </c>
      <c r="AY71" s="476" t="str">
        <v>1</v>
      </c>
      <c r="AZ71" s="473" t="str">
        <v>1</v>
      </c>
      <c r="BA71" s="61">
        <v>6</v>
      </c>
      <c r="BB71" s="60" t="str">
        <f t="shared" si="31"/>
        <v/>
      </c>
      <c r="BC71" s="60" t="str">
        <f t="shared" si="32"/>
        <v/>
      </c>
      <c r="BD71" s="60" t="str">
        <f t="shared" si="33"/>
        <v/>
      </c>
      <c r="BE71" s="60" t="str">
        <f t="shared" si="34"/>
        <v/>
      </c>
      <c r="BF71" s="60" t="str">
        <f t="shared" si="35"/>
        <v/>
      </c>
      <c r="BG71" s="60" t="str">
        <f t="shared" si="36"/>
        <v/>
      </c>
      <c r="BH71" s="60" t="str">
        <f t="shared" si="37"/>
        <v/>
      </c>
      <c r="BI71" s="60" t="str">
        <f t="shared" si="38"/>
        <v/>
      </c>
      <c r="BJ71" s="60" t="str">
        <f t="shared" si="39"/>
        <v/>
      </c>
      <c r="BK71" s="60" t="str">
        <f t="shared" si="40"/>
        <v/>
      </c>
      <c r="BL71" s="60" t="str">
        <f t="shared" si="41"/>
        <v/>
      </c>
      <c r="BM71" s="60" t="str">
        <f t="shared" si="42"/>
        <v/>
      </c>
      <c r="BN71" s="60" t="str">
        <f t="shared" si="43"/>
        <v/>
      </c>
      <c r="BO71" s="60" t="str">
        <f t="shared" si="44"/>
        <v/>
      </c>
      <c r="BP71" s="60" t="str">
        <f t="shared" si="45"/>
        <v/>
      </c>
      <c r="BQ71" s="60" t="str">
        <f t="shared" si="46"/>
        <v/>
      </c>
      <c r="BR71" s="60" t="str">
        <f t="shared" si="47"/>
        <v/>
      </c>
      <c r="BS71" s="60" t="str">
        <f t="shared" si="48"/>
        <v/>
      </c>
      <c r="BT71" s="60" t="str">
        <f t="shared" si="49"/>
        <v/>
      </c>
      <c r="BU71" s="148" t="str">
        <f t="shared" si="50"/>
        <v/>
      </c>
      <c r="BV71" s="225" t="str">
        <f t="shared" si="51"/>
        <v/>
      </c>
      <c r="BW71" s="60" t="s">
        <v>173</v>
      </c>
      <c r="BX71" s="60">
        <f>BG64</f>
        <v>0</v>
      </c>
    </row>
    <row r="72" spans="1:76" s="97" customFormat="1" ht="15.75" customHeight="1" x14ac:dyDescent="0.3">
      <c r="B72" s="286">
        <v>7</v>
      </c>
      <c r="C72" s="164" t="str">
        <f t="shared" si="13"/>
        <v/>
      </c>
      <c r="D72" s="238" t="str">
        <f t="shared" si="14"/>
        <v/>
      </c>
      <c r="E72" s="208" t="str">
        <f t="shared" si="15"/>
        <v/>
      </c>
      <c r="F72" s="733"/>
      <c r="G72" s="734"/>
      <c r="H72" s="205" t="str">
        <f t="shared" si="16"/>
        <v/>
      </c>
      <c r="I72" s="331" t="str">
        <f t="shared" si="17"/>
        <v/>
      </c>
      <c r="J72" s="925" t="str">
        <f>IF(F72="","",VLOOKUP(F72,'10. Condition and Temporal'!$B$6:$F$103,5,FALSE))</f>
        <v/>
      </c>
      <c r="K72" s="926"/>
      <c r="L72" s="25" t="str">
        <f t="shared" si="18"/>
        <v/>
      </c>
      <c r="M72" s="927" t="str">
        <f t="shared" si="19"/>
        <v/>
      </c>
      <c r="N72" s="928"/>
      <c r="O72" s="133"/>
      <c r="P72" s="85"/>
      <c r="R72" s="649"/>
      <c r="T72" s="218" t="str">
        <f t="shared" si="20"/>
        <v/>
      </c>
      <c r="U72" s="159" t="str">
        <f t="shared" si="21"/>
        <v/>
      </c>
      <c r="V72" s="160" t="str">
        <f t="shared" si="22"/>
        <v/>
      </c>
      <c r="W72" s="158" t="str">
        <f t="shared" si="22"/>
        <v/>
      </c>
      <c r="X72" s="61" t="str">
        <f t="shared" si="22"/>
        <v/>
      </c>
      <c r="Y72" s="350"/>
      <c r="Z72" s="350"/>
      <c r="AA72" s="350"/>
      <c r="AB72" s="148" t="str">
        <f t="shared" si="23"/>
        <v/>
      </c>
      <c r="AC72" s="162" t="str">
        <f t="shared" si="24"/>
        <v/>
      </c>
      <c r="AD72" s="160" t="str">
        <f t="shared" si="25"/>
        <v/>
      </c>
      <c r="AE72" s="220" t="str">
        <f t="shared" si="26"/>
        <v/>
      </c>
      <c r="AF72" s="158" t="str">
        <f t="shared" si="27"/>
        <v/>
      </c>
      <c r="AG72" s="159" t="str">
        <f>IF(D72="","",VLOOKUP(F72,'9. All Habitats + Multipliers'!$C$4:$K$102,5,FALSE))</f>
        <v/>
      </c>
      <c r="AH72" s="160" t="str">
        <f>IF(AG72="","",VLOOKUP(AG72,'11. Lists'!$B$47:$D$49,2,FALSE))</f>
        <v/>
      </c>
      <c r="AI72" s="159" t="str">
        <f t="shared" si="28"/>
        <v/>
      </c>
      <c r="AJ72" s="471" t="str">
        <f>IF(AI72="","",VLOOKUP(AI72,'11. Lists'!$F$47:$G$51,2,FALSE))</f>
        <v/>
      </c>
      <c r="AK72" s="472"/>
      <c r="AL72" s="472"/>
      <c r="AM72" s="472"/>
      <c r="AN72" s="471" t="str">
        <f t="shared" si="29"/>
        <v/>
      </c>
      <c r="AO72" s="161" t="str">
        <f>IF(AN72="","",VLOOKUP(AN72,'11. Lists'!$F$36:$H$38,2,FALSE))</f>
        <v/>
      </c>
      <c r="AP72" s="160" t="str">
        <f>IF(AN72="","",VLOOKUP(AN72,'11. Lists'!$F$36:$H$38,3,FALSE))</f>
        <v/>
      </c>
      <c r="AQ72" s="159" t="str">
        <f>IF(D72="","",IF(AX72="Distinctiveness","N/A",VLOOKUP(F72,'10. Condition and Temporal'!$B$6:$L$103,11,FALSE)))</f>
        <v/>
      </c>
      <c r="AR72" s="163" t="str">
        <f>IF(AQ72="","",IF(AQ72="N/A","1",VLOOKUP(AQ72,'11. Lists'!$I$47:$K$80,3,FALSE)))</f>
        <v/>
      </c>
      <c r="AS72" s="178" t="str">
        <f>IF(D72="","",IF(AX72="Condition","N/A",VLOOKUP(F72,'10. Condition and Temporal'!$B$6:$M$106,12,FALSE)))</f>
        <v/>
      </c>
      <c r="AT72" s="163" t="str">
        <f>IF(AS72="","",IF(AS72="N/A","1",VLOOKUP(AS72,'11. Lists'!$I$47:$K$80,3,FALSE)))</f>
        <v/>
      </c>
      <c r="AU72" s="162" t="str">
        <f>IF(D72="","",VLOOKUP(F72,'9. All Habitats + Multipliers'!$C$4:$K$102,8,FALSE))</f>
        <v/>
      </c>
      <c r="AV72" s="160" t="str">
        <f>IF(AU72="","",VLOOKUP(AU72,'11. Lists'!$J$35:$K$38,2,FALSE))</f>
        <v/>
      </c>
      <c r="AW72" s="159" t="str">
        <f>IF(D72="","",VLOOKUP(D72,'10. Condition and Temporal'!$B$6:$M$103,4,FALSE))</f>
        <v/>
      </c>
      <c r="AX72" s="456" t="str">
        <f t="shared" si="30"/>
        <v/>
      </c>
      <c r="AY72" s="476" t="str">
        <v>1</v>
      </c>
      <c r="AZ72" s="473" t="str">
        <v>1</v>
      </c>
      <c r="BA72" s="61">
        <v>7</v>
      </c>
      <c r="BB72" s="60" t="str">
        <f t="shared" si="31"/>
        <v/>
      </c>
      <c r="BC72" s="60" t="str">
        <f t="shared" si="32"/>
        <v/>
      </c>
      <c r="BD72" s="60" t="str">
        <f t="shared" si="33"/>
        <v/>
      </c>
      <c r="BE72" s="60" t="str">
        <f t="shared" si="34"/>
        <v/>
      </c>
      <c r="BF72" s="60" t="str">
        <f t="shared" si="35"/>
        <v/>
      </c>
      <c r="BG72" s="60" t="str">
        <f t="shared" si="36"/>
        <v/>
      </c>
      <c r="BH72" s="60" t="str">
        <f t="shared" si="37"/>
        <v/>
      </c>
      <c r="BI72" s="60" t="str">
        <f t="shared" si="38"/>
        <v/>
      </c>
      <c r="BJ72" s="60" t="str">
        <f t="shared" si="39"/>
        <v/>
      </c>
      <c r="BK72" s="60" t="str">
        <f t="shared" si="40"/>
        <v/>
      </c>
      <c r="BL72" s="60" t="str">
        <f t="shared" si="41"/>
        <v/>
      </c>
      <c r="BM72" s="60" t="str">
        <f t="shared" si="42"/>
        <v/>
      </c>
      <c r="BN72" s="60" t="str">
        <f t="shared" si="43"/>
        <v/>
      </c>
      <c r="BO72" s="60" t="str">
        <f t="shared" si="44"/>
        <v/>
      </c>
      <c r="BP72" s="60" t="str">
        <f t="shared" si="45"/>
        <v/>
      </c>
      <c r="BQ72" s="60" t="str">
        <f t="shared" si="46"/>
        <v/>
      </c>
      <c r="BR72" s="60" t="str">
        <f t="shared" si="47"/>
        <v/>
      </c>
      <c r="BS72" s="60" t="str">
        <f t="shared" si="48"/>
        <v/>
      </c>
      <c r="BT72" s="60" t="str">
        <f t="shared" si="49"/>
        <v/>
      </c>
      <c r="BU72" s="148" t="str">
        <f t="shared" si="50"/>
        <v/>
      </c>
      <c r="BV72" s="225" t="str">
        <f t="shared" si="51"/>
        <v/>
      </c>
      <c r="BW72" s="60" t="s">
        <v>174</v>
      </c>
      <c r="BX72" s="60">
        <f>BH64</f>
        <v>0</v>
      </c>
    </row>
    <row r="73" spans="1:76" s="97" customFormat="1" ht="15.45" customHeight="1" x14ac:dyDescent="0.3">
      <c r="B73" s="286">
        <v>8</v>
      </c>
      <c r="C73" s="164" t="str">
        <f t="shared" si="13"/>
        <v/>
      </c>
      <c r="D73" s="238" t="str">
        <f t="shared" si="14"/>
        <v/>
      </c>
      <c r="E73" s="208" t="str">
        <f t="shared" si="15"/>
        <v/>
      </c>
      <c r="F73" s="733"/>
      <c r="G73" s="734"/>
      <c r="H73" s="205" t="str">
        <f t="shared" si="16"/>
        <v/>
      </c>
      <c r="I73" s="331" t="str">
        <f t="shared" si="17"/>
        <v/>
      </c>
      <c r="J73" s="925" t="str">
        <f>IF(F73="","",VLOOKUP(F73,'10. Condition and Temporal'!$B$6:$F$103,5,FALSE))</f>
        <v/>
      </c>
      <c r="K73" s="926"/>
      <c r="L73" s="25" t="str">
        <f t="shared" si="18"/>
        <v/>
      </c>
      <c r="M73" s="927" t="str">
        <f t="shared" si="19"/>
        <v/>
      </c>
      <c r="N73" s="928"/>
      <c r="O73" s="133"/>
      <c r="P73" s="85"/>
      <c r="R73" s="649"/>
      <c r="T73" s="218" t="str">
        <f t="shared" si="20"/>
        <v/>
      </c>
      <c r="U73" s="159" t="str">
        <f t="shared" si="21"/>
        <v/>
      </c>
      <c r="V73" s="160" t="str">
        <f t="shared" si="22"/>
        <v/>
      </c>
      <c r="W73" s="158" t="str">
        <f t="shared" si="22"/>
        <v/>
      </c>
      <c r="X73" s="61" t="str">
        <f t="shared" si="22"/>
        <v/>
      </c>
      <c r="Y73" s="350"/>
      <c r="Z73" s="350"/>
      <c r="AA73" s="350"/>
      <c r="AB73" s="148" t="str">
        <f t="shared" si="23"/>
        <v/>
      </c>
      <c r="AC73" s="162" t="str">
        <f t="shared" si="24"/>
        <v/>
      </c>
      <c r="AD73" s="160" t="str">
        <f t="shared" si="25"/>
        <v/>
      </c>
      <c r="AE73" s="220" t="str">
        <f t="shared" si="26"/>
        <v/>
      </c>
      <c r="AF73" s="158" t="str">
        <f t="shared" si="27"/>
        <v/>
      </c>
      <c r="AG73" s="159" t="str">
        <f>IF(D73="","",VLOOKUP(F73,'9. All Habitats + Multipliers'!$C$4:$K$102,5,FALSE))</f>
        <v/>
      </c>
      <c r="AH73" s="160" t="str">
        <f>IF(AG73="","",VLOOKUP(AG73,'11. Lists'!$B$47:$D$49,2,FALSE))</f>
        <v/>
      </c>
      <c r="AI73" s="159" t="str">
        <f t="shared" si="28"/>
        <v/>
      </c>
      <c r="AJ73" s="471" t="str">
        <f>IF(AI73="","",VLOOKUP(AI73,'11. Lists'!$F$47:$G$51,2,FALSE))</f>
        <v/>
      </c>
      <c r="AK73" s="472"/>
      <c r="AL73" s="472"/>
      <c r="AM73" s="472"/>
      <c r="AN73" s="471" t="str">
        <f t="shared" si="29"/>
        <v/>
      </c>
      <c r="AO73" s="161" t="str">
        <f>IF(AN73="","",VLOOKUP(AN73,'11. Lists'!$F$36:$H$38,2,FALSE))</f>
        <v/>
      </c>
      <c r="AP73" s="160" t="str">
        <f>IF(AN73="","",VLOOKUP(AN73,'11. Lists'!$F$36:$H$38,3,FALSE))</f>
        <v/>
      </c>
      <c r="AQ73" s="159" t="str">
        <f>IF(D73="","",IF(AX73="Distinctiveness","N/A",VLOOKUP(F73,'10. Condition and Temporal'!$B$6:$L$103,11,FALSE)))</f>
        <v/>
      </c>
      <c r="AR73" s="163" t="str">
        <f>IF(AQ73="","",IF(AQ73="N/A","1",VLOOKUP(AQ73,'11. Lists'!$I$47:$K$80,3,FALSE)))</f>
        <v/>
      </c>
      <c r="AS73" s="178" t="str">
        <f>IF(D73="","",IF(AX73="Condition","N/A",VLOOKUP(F73,'10. Condition and Temporal'!$B$6:$M$106,12,FALSE)))</f>
        <v/>
      </c>
      <c r="AT73" s="163" t="str">
        <f>IF(AS73="","",IF(AS73="N/A","1",VLOOKUP(AS73,'11. Lists'!$I$47:$K$80,3,FALSE)))</f>
        <v/>
      </c>
      <c r="AU73" s="162" t="str">
        <f>IF(D73="","",VLOOKUP(F73,'9. All Habitats + Multipliers'!$C$4:$K$102,8,FALSE))</f>
        <v/>
      </c>
      <c r="AV73" s="160" t="str">
        <f>IF(AU73="","",VLOOKUP(AU73,'11. Lists'!$J$35:$K$38,2,FALSE))</f>
        <v/>
      </c>
      <c r="AW73" s="159" t="str">
        <f>IF(D73="","",VLOOKUP(D73,'10. Condition and Temporal'!$B$6:$M$103,4,FALSE))</f>
        <v/>
      </c>
      <c r="AX73" s="456" t="str">
        <f t="shared" si="30"/>
        <v/>
      </c>
      <c r="AY73" s="476" t="str">
        <v>1</v>
      </c>
      <c r="AZ73" s="473" t="str">
        <v>1</v>
      </c>
      <c r="BA73" s="61">
        <v>8</v>
      </c>
      <c r="BB73" s="60" t="str">
        <f t="shared" si="31"/>
        <v/>
      </c>
      <c r="BC73" s="60" t="str">
        <f t="shared" si="32"/>
        <v/>
      </c>
      <c r="BD73" s="60" t="str">
        <f t="shared" si="33"/>
        <v/>
      </c>
      <c r="BE73" s="60" t="str">
        <f t="shared" si="34"/>
        <v/>
      </c>
      <c r="BF73" s="60" t="str">
        <f t="shared" si="35"/>
        <v/>
      </c>
      <c r="BG73" s="60" t="str">
        <f t="shared" si="36"/>
        <v/>
      </c>
      <c r="BH73" s="60" t="str">
        <f t="shared" si="37"/>
        <v/>
      </c>
      <c r="BI73" s="60" t="str">
        <f t="shared" si="38"/>
        <v/>
      </c>
      <c r="BJ73" s="60" t="str">
        <f t="shared" si="39"/>
        <v/>
      </c>
      <c r="BK73" s="60" t="str">
        <f t="shared" si="40"/>
        <v/>
      </c>
      <c r="BL73" s="60" t="str">
        <f t="shared" si="41"/>
        <v/>
      </c>
      <c r="BM73" s="60" t="str">
        <f t="shared" si="42"/>
        <v/>
      </c>
      <c r="BN73" s="60" t="str">
        <f t="shared" si="43"/>
        <v/>
      </c>
      <c r="BO73" s="60" t="str">
        <f t="shared" si="44"/>
        <v/>
      </c>
      <c r="BP73" s="60" t="str">
        <f t="shared" si="45"/>
        <v/>
      </c>
      <c r="BQ73" s="60" t="str">
        <f t="shared" si="46"/>
        <v/>
      </c>
      <c r="BR73" s="60" t="str">
        <f t="shared" si="47"/>
        <v/>
      </c>
      <c r="BS73" s="60" t="str">
        <f t="shared" si="48"/>
        <v/>
      </c>
      <c r="BT73" s="60" t="str">
        <f t="shared" si="49"/>
        <v/>
      </c>
      <c r="BU73" s="148" t="str">
        <f t="shared" si="50"/>
        <v/>
      </c>
      <c r="BV73" s="225" t="str">
        <f t="shared" si="51"/>
        <v/>
      </c>
      <c r="BW73" s="60" t="s">
        <v>175</v>
      </c>
      <c r="BX73" s="60">
        <f>BI64</f>
        <v>0</v>
      </c>
    </row>
    <row r="74" spans="1:76" s="97" customFormat="1" ht="15.75" customHeight="1" x14ac:dyDescent="0.3">
      <c r="B74" s="286">
        <v>9</v>
      </c>
      <c r="C74" s="164" t="str">
        <f t="shared" si="13"/>
        <v/>
      </c>
      <c r="D74" s="238" t="str">
        <f t="shared" si="14"/>
        <v/>
      </c>
      <c r="E74" s="208" t="str">
        <f t="shared" si="15"/>
        <v/>
      </c>
      <c r="F74" s="733"/>
      <c r="G74" s="734"/>
      <c r="H74" s="205" t="str">
        <f t="shared" si="16"/>
        <v/>
      </c>
      <c r="I74" s="331" t="str">
        <f t="shared" si="17"/>
        <v/>
      </c>
      <c r="J74" s="925" t="str">
        <f>IF(F74="","",VLOOKUP(F74,'10. Condition and Temporal'!$B$6:$F$103,5,FALSE))</f>
        <v/>
      </c>
      <c r="K74" s="926"/>
      <c r="L74" s="25" t="str">
        <f t="shared" si="18"/>
        <v/>
      </c>
      <c r="M74" s="927" t="str">
        <f t="shared" si="19"/>
        <v/>
      </c>
      <c r="N74" s="928"/>
      <c r="O74" s="133"/>
      <c r="P74" s="85"/>
      <c r="R74" s="649"/>
      <c r="T74" s="218" t="str">
        <f t="shared" si="20"/>
        <v/>
      </c>
      <c r="U74" s="159" t="str">
        <f t="shared" si="21"/>
        <v/>
      </c>
      <c r="V74" s="160" t="str">
        <f t="shared" si="22"/>
        <v/>
      </c>
      <c r="W74" s="158" t="str">
        <f t="shared" si="22"/>
        <v/>
      </c>
      <c r="X74" s="61" t="str">
        <f t="shared" si="22"/>
        <v/>
      </c>
      <c r="Y74" s="350"/>
      <c r="Z74" s="350"/>
      <c r="AA74" s="350"/>
      <c r="AB74" s="148" t="str">
        <f t="shared" si="23"/>
        <v/>
      </c>
      <c r="AC74" s="162" t="str">
        <f t="shared" si="24"/>
        <v/>
      </c>
      <c r="AD74" s="160" t="str">
        <f t="shared" si="25"/>
        <v/>
      </c>
      <c r="AE74" s="220" t="str">
        <f t="shared" si="26"/>
        <v/>
      </c>
      <c r="AF74" s="158" t="str">
        <f t="shared" si="27"/>
        <v/>
      </c>
      <c r="AG74" s="159" t="str">
        <f>IF(D74="","",VLOOKUP(F74,'9. All Habitats + Multipliers'!$C$4:$K$102,5,FALSE))</f>
        <v/>
      </c>
      <c r="AH74" s="160" t="str">
        <f>IF(AG74="","",VLOOKUP(AG74,'11. Lists'!$B$47:$D$49,2,FALSE))</f>
        <v/>
      </c>
      <c r="AI74" s="159" t="str">
        <f t="shared" si="28"/>
        <v/>
      </c>
      <c r="AJ74" s="471" t="str">
        <f>IF(AI74="","",VLOOKUP(AI74,'11. Lists'!$F$47:$G$51,2,FALSE))</f>
        <v/>
      </c>
      <c r="AK74" s="472"/>
      <c r="AL74" s="472"/>
      <c r="AM74" s="472"/>
      <c r="AN74" s="471" t="str">
        <f t="shared" si="29"/>
        <v/>
      </c>
      <c r="AO74" s="161" t="str">
        <f>IF(AN74="","",VLOOKUP(AN74,'11. Lists'!$F$36:$H$38,2,FALSE))</f>
        <v/>
      </c>
      <c r="AP74" s="160" t="str">
        <f>IF(AN74="","",VLOOKUP(AN74,'11. Lists'!$F$36:$H$38,3,FALSE))</f>
        <v/>
      </c>
      <c r="AQ74" s="159" t="str">
        <f>IF(D74="","",IF(AX74="Distinctiveness","N/A",VLOOKUP(F74,'10. Condition and Temporal'!$B$6:$L$103,11,FALSE)))</f>
        <v/>
      </c>
      <c r="AR74" s="163" t="str">
        <f>IF(AQ74="","",IF(AQ74="N/A","1",VLOOKUP(AQ74,'11. Lists'!$I$47:$K$80,3,FALSE)))</f>
        <v/>
      </c>
      <c r="AS74" s="178" t="str">
        <f>IF(D74="","",IF(AX74="Condition","N/A",VLOOKUP(F74,'10. Condition and Temporal'!$B$6:$M$106,12,FALSE)))</f>
        <v/>
      </c>
      <c r="AT74" s="163" t="str">
        <f>IF(AS74="","",IF(AS74="N/A","1",VLOOKUP(AS74,'11. Lists'!$I$47:$K$80,3,FALSE)))</f>
        <v/>
      </c>
      <c r="AU74" s="162" t="str">
        <f>IF(D74="","",VLOOKUP(F74,'9. All Habitats + Multipliers'!$C$4:$K$102,8,FALSE))</f>
        <v/>
      </c>
      <c r="AV74" s="160" t="str">
        <f>IF(AU74="","",VLOOKUP(AU74,'11. Lists'!$J$35:$K$38,2,FALSE))</f>
        <v/>
      </c>
      <c r="AW74" s="159" t="str">
        <f>IF(D74="","",VLOOKUP(D74,'10. Condition and Temporal'!$B$6:$M$103,4,FALSE))</f>
        <v/>
      </c>
      <c r="AX74" s="456" t="str">
        <f t="shared" si="30"/>
        <v/>
      </c>
      <c r="AY74" s="476" t="str">
        <v>1</v>
      </c>
      <c r="AZ74" s="473" t="str">
        <v>1</v>
      </c>
      <c r="BA74" s="61">
        <v>9</v>
      </c>
      <c r="BB74" s="60" t="str">
        <f t="shared" si="31"/>
        <v/>
      </c>
      <c r="BC74" s="60" t="str">
        <f t="shared" si="32"/>
        <v/>
      </c>
      <c r="BD74" s="60" t="str">
        <f t="shared" si="33"/>
        <v/>
      </c>
      <c r="BE74" s="60" t="str">
        <f t="shared" si="34"/>
        <v/>
      </c>
      <c r="BF74" s="60" t="str">
        <f t="shared" si="35"/>
        <v/>
      </c>
      <c r="BG74" s="60" t="str">
        <f t="shared" si="36"/>
        <v/>
      </c>
      <c r="BH74" s="60" t="str">
        <f t="shared" si="37"/>
        <v/>
      </c>
      <c r="BI74" s="60" t="str">
        <f t="shared" si="38"/>
        <v/>
      </c>
      <c r="BJ74" s="60" t="str">
        <f t="shared" si="39"/>
        <v/>
      </c>
      <c r="BK74" s="60" t="str">
        <f t="shared" si="40"/>
        <v/>
      </c>
      <c r="BL74" s="60" t="str">
        <f t="shared" si="41"/>
        <v/>
      </c>
      <c r="BM74" s="60" t="str">
        <f t="shared" si="42"/>
        <v/>
      </c>
      <c r="BN74" s="60" t="str">
        <f t="shared" si="43"/>
        <v/>
      </c>
      <c r="BO74" s="60" t="str">
        <f t="shared" si="44"/>
        <v/>
      </c>
      <c r="BP74" s="60" t="str">
        <f t="shared" si="45"/>
        <v/>
      </c>
      <c r="BQ74" s="60" t="str">
        <f t="shared" si="46"/>
        <v/>
      </c>
      <c r="BR74" s="60" t="str">
        <f t="shared" si="47"/>
        <v/>
      </c>
      <c r="BS74" s="60" t="str">
        <f t="shared" si="48"/>
        <v/>
      </c>
      <c r="BT74" s="60" t="str">
        <f t="shared" si="49"/>
        <v/>
      </c>
      <c r="BU74" s="148" t="str">
        <f t="shared" si="50"/>
        <v/>
      </c>
      <c r="BV74" s="225" t="str">
        <f t="shared" si="51"/>
        <v/>
      </c>
      <c r="BW74" s="60" t="s">
        <v>176</v>
      </c>
      <c r="BX74" s="60">
        <f>BJ64</f>
        <v>0</v>
      </c>
    </row>
    <row r="75" spans="1:76" s="97" customFormat="1" ht="15.75" customHeight="1" x14ac:dyDescent="0.3">
      <c r="B75" s="286">
        <v>10</v>
      </c>
      <c r="C75" s="164" t="str">
        <f t="shared" si="13"/>
        <v/>
      </c>
      <c r="D75" s="238" t="str">
        <f t="shared" si="14"/>
        <v/>
      </c>
      <c r="E75" s="208" t="str">
        <f t="shared" si="15"/>
        <v/>
      </c>
      <c r="F75" s="733"/>
      <c r="G75" s="734"/>
      <c r="H75" s="205" t="str">
        <f t="shared" si="16"/>
        <v/>
      </c>
      <c r="I75" s="331" t="str">
        <f t="shared" si="17"/>
        <v/>
      </c>
      <c r="J75" s="925" t="str">
        <f>IF(F75="","",VLOOKUP(F75,'10. Condition and Temporal'!$B$6:$F$103,5,FALSE))</f>
        <v/>
      </c>
      <c r="K75" s="926"/>
      <c r="L75" s="25" t="str">
        <f t="shared" si="18"/>
        <v/>
      </c>
      <c r="M75" s="927" t="str">
        <f t="shared" si="19"/>
        <v/>
      </c>
      <c r="N75" s="928"/>
      <c r="O75" s="133"/>
      <c r="P75" s="85"/>
      <c r="R75" s="649"/>
      <c r="T75" s="218" t="str">
        <f t="shared" si="20"/>
        <v/>
      </c>
      <c r="U75" s="159" t="str">
        <f t="shared" si="21"/>
        <v/>
      </c>
      <c r="V75" s="160" t="str">
        <f t="shared" si="22"/>
        <v/>
      </c>
      <c r="W75" s="158" t="str">
        <f t="shared" si="22"/>
        <v/>
      </c>
      <c r="X75" s="61" t="str">
        <f t="shared" si="22"/>
        <v/>
      </c>
      <c r="Y75" s="350"/>
      <c r="Z75" s="350"/>
      <c r="AA75" s="350"/>
      <c r="AB75" s="148" t="str">
        <f t="shared" si="23"/>
        <v/>
      </c>
      <c r="AC75" s="162" t="str">
        <f t="shared" si="24"/>
        <v/>
      </c>
      <c r="AD75" s="160" t="str">
        <f t="shared" si="25"/>
        <v/>
      </c>
      <c r="AE75" s="220" t="str">
        <f t="shared" si="26"/>
        <v/>
      </c>
      <c r="AF75" s="158" t="str">
        <f t="shared" si="27"/>
        <v/>
      </c>
      <c r="AG75" s="159" t="str">
        <f>IF(D75="","",VLOOKUP(F75,'9. All Habitats + Multipliers'!$C$4:$K$102,5,FALSE))</f>
        <v/>
      </c>
      <c r="AH75" s="160" t="str">
        <f>IF(AG75="","",VLOOKUP(AG75,'11. Lists'!$B$47:$D$49,2,FALSE))</f>
        <v/>
      </c>
      <c r="AI75" s="159" t="str">
        <f t="shared" si="28"/>
        <v/>
      </c>
      <c r="AJ75" s="471" t="str">
        <f>IF(AI75="","",VLOOKUP(AI75,'11. Lists'!$F$47:$G$51,2,FALSE))</f>
        <v/>
      </c>
      <c r="AK75" s="472"/>
      <c r="AL75" s="472"/>
      <c r="AM75" s="472"/>
      <c r="AN75" s="471" t="str">
        <f t="shared" si="29"/>
        <v/>
      </c>
      <c r="AO75" s="161" t="str">
        <f>IF(AN75="","",VLOOKUP(AN75,'11. Lists'!$F$36:$H$38,2,FALSE))</f>
        <v/>
      </c>
      <c r="AP75" s="160" t="str">
        <f>IF(AN75="","",VLOOKUP(AN75,'11. Lists'!$F$36:$H$38,3,FALSE))</f>
        <v/>
      </c>
      <c r="AQ75" s="159" t="str">
        <f>IF(D75="","",IF(AX75="Distinctiveness","N/A",VLOOKUP(F75,'10. Condition and Temporal'!$B$6:$L$103,11,FALSE)))</f>
        <v/>
      </c>
      <c r="AR75" s="163" t="str">
        <f>IF(AQ75="","",IF(AQ75="N/A","1",VLOOKUP(AQ75,'11. Lists'!$I$47:$K$80,3,FALSE)))</f>
        <v/>
      </c>
      <c r="AS75" s="178" t="str">
        <f>IF(D75="","",IF(AX75="Condition","N/A",VLOOKUP(F75,'10. Condition and Temporal'!$B$6:$M$106,12,FALSE)))</f>
        <v/>
      </c>
      <c r="AT75" s="163" t="str">
        <f>IF(AS75="","",IF(AS75="N/A","1",VLOOKUP(AS75,'11. Lists'!$I$47:$K$80,3,FALSE)))</f>
        <v/>
      </c>
      <c r="AU75" s="162" t="str">
        <f>IF(D75="","",VLOOKUP(F75,'9. All Habitats + Multipliers'!$C$4:$K$102,8,FALSE))</f>
        <v/>
      </c>
      <c r="AV75" s="160" t="str">
        <f>IF(AU75="","",VLOOKUP(AU75,'11. Lists'!$J$35:$K$38,2,FALSE))</f>
        <v/>
      </c>
      <c r="AW75" s="159" t="str">
        <f>IF(D75="","",VLOOKUP(D75,'10. Condition and Temporal'!$B$6:$M$103,4,FALSE))</f>
        <v/>
      </c>
      <c r="AX75" s="456" t="str">
        <f t="shared" si="30"/>
        <v/>
      </c>
      <c r="AY75" s="476" t="str">
        <v>1</v>
      </c>
      <c r="AZ75" s="473" t="str">
        <v>1</v>
      </c>
      <c r="BA75" s="61">
        <v>10</v>
      </c>
      <c r="BB75" s="60" t="str">
        <f t="shared" si="31"/>
        <v/>
      </c>
      <c r="BC75" s="60" t="str">
        <f t="shared" si="32"/>
        <v/>
      </c>
      <c r="BD75" s="60" t="str">
        <f t="shared" si="33"/>
        <v/>
      </c>
      <c r="BE75" s="60" t="str">
        <f t="shared" si="34"/>
        <v/>
      </c>
      <c r="BF75" s="60" t="str">
        <f t="shared" si="35"/>
        <v/>
      </c>
      <c r="BG75" s="60" t="str">
        <f t="shared" si="36"/>
        <v/>
      </c>
      <c r="BH75" s="60" t="str">
        <f t="shared" si="37"/>
        <v/>
      </c>
      <c r="BI75" s="60" t="str">
        <f t="shared" si="38"/>
        <v/>
      </c>
      <c r="BJ75" s="60" t="str">
        <f t="shared" si="39"/>
        <v/>
      </c>
      <c r="BK75" s="60" t="str">
        <f t="shared" si="40"/>
        <v/>
      </c>
      <c r="BL75" s="60" t="str">
        <f t="shared" si="41"/>
        <v/>
      </c>
      <c r="BM75" s="60" t="str">
        <f t="shared" si="42"/>
        <v/>
      </c>
      <c r="BN75" s="60" t="str">
        <f t="shared" si="43"/>
        <v/>
      </c>
      <c r="BO75" s="60" t="str">
        <f t="shared" si="44"/>
        <v/>
      </c>
      <c r="BP75" s="60" t="str">
        <f t="shared" si="45"/>
        <v/>
      </c>
      <c r="BQ75" s="60" t="str">
        <f t="shared" si="46"/>
        <v/>
      </c>
      <c r="BR75" s="60" t="str">
        <f t="shared" si="47"/>
        <v/>
      </c>
      <c r="BS75" s="60" t="str">
        <f t="shared" si="48"/>
        <v/>
      </c>
      <c r="BT75" s="60" t="str">
        <f t="shared" si="49"/>
        <v/>
      </c>
      <c r="BU75" s="148" t="str">
        <f t="shared" si="50"/>
        <v/>
      </c>
      <c r="BV75" s="225" t="str">
        <f t="shared" si="51"/>
        <v/>
      </c>
      <c r="BW75" s="60" t="s">
        <v>177</v>
      </c>
      <c r="BX75" s="60">
        <f>BK64</f>
        <v>0</v>
      </c>
    </row>
    <row r="76" spans="1:76" s="97" customFormat="1" ht="15.45" customHeight="1" x14ac:dyDescent="0.3">
      <c r="B76" s="286">
        <v>11</v>
      </c>
      <c r="C76" s="164" t="str">
        <f t="shared" si="13"/>
        <v/>
      </c>
      <c r="D76" s="238" t="str">
        <f t="shared" si="14"/>
        <v/>
      </c>
      <c r="E76" s="208" t="str">
        <f t="shared" si="15"/>
        <v/>
      </c>
      <c r="F76" s="733"/>
      <c r="G76" s="734"/>
      <c r="H76" s="205" t="str">
        <f t="shared" si="16"/>
        <v/>
      </c>
      <c r="I76" s="331" t="str">
        <f t="shared" si="17"/>
        <v/>
      </c>
      <c r="J76" s="925" t="str">
        <f>IF(F76="","",VLOOKUP(F76,'10. Condition and Temporal'!$B$6:$F$103,5,FALSE))</f>
        <v/>
      </c>
      <c r="K76" s="926"/>
      <c r="L76" s="25" t="str">
        <f t="shared" si="18"/>
        <v/>
      </c>
      <c r="M76" s="927" t="str">
        <f t="shared" si="19"/>
        <v/>
      </c>
      <c r="N76" s="928"/>
      <c r="O76" s="133"/>
      <c r="P76" s="85"/>
      <c r="R76" s="649"/>
      <c r="T76" s="218" t="str">
        <f t="shared" si="20"/>
        <v/>
      </c>
      <c r="U76" s="159" t="str">
        <f t="shared" si="21"/>
        <v/>
      </c>
      <c r="V76" s="160" t="str">
        <f t="shared" si="22"/>
        <v/>
      </c>
      <c r="W76" s="158" t="str">
        <f t="shared" si="22"/>
        <v/>
      </c>
      <c r="X76" s="61" t="str">
        <f t="shared" si="22"/>
        <v/>
      </c>
      <c r="Y76" s="350"/>
      <c r="Z76" s="350"/>
      <c r="AA76" s="350"/>
      <c r="AB76" s="148" t="str">
        <f t="shared" si="23"/>
        <v/>
      </c>
      <c r="AC76" s="162" t="str">
        <f t="shared" si="24"/>
        <v/>
      </c>
      <c r="AD76" s="160" t="str">
        <f t="shared" si="25"/>
        <v/>
      </c>
      <c r="AE76" s="220" t="str">
        <f t="shared" si="26"/>
        <v/>
      </c>
      <c r="AF76" s="158" t="str">
        <f t="shared" si="27"/>
        <v/>
      </c>
      <c r="AG76" s="159" t="str">
        <f>IF(D76="","",VLOOKUP(F76,'9. All Habitats + Multipliers'!$C$4:$K$102,5,FALSE))</f>
        <v/>
      </c>
      <c r="AH76" s="160" t="str">
        <f>IF(AG76="","",VLOOKUP(AG76,'11. Lists'!$B$47:$D$49,2,FALSE))</f>
        <v/>
      </c>
      <c r="AI76" s="159" t="str">
        <f t="shared" si="28"/>
        <v/>
      </c>
      <c r="AJ76" s="471" t="str">
        <f>IF(AI76="","",VLOOKUP(AI76,'11. Lists'!$F$47:$G$51,2,FALSE))</f>
        <v/>
      </c>
      <c r="AK76" s="472"/>
      <c r="AL76" s="472"/>
      <c r="AM76" s="472"/>
      <c r="AN76" s="471" t="str">
        <f t="shared" si="29"/>
        <v/>
      </c>
      <c r="AO76" s="161" t="str">
        <f>IF(AN76="","",VLOOKUP(AN76,'11. Lists'!$F$36:$H$38,2,FALSE))</f>
        <v/>
      </c>
      <c r="AP76" s="160" t="str">
        <f>IF(AN76="","",VLOOKUP(AN76,'11. Lists'!$F$36:$H$38,3,FALSE))</f>
        <v/>
      </c>
      <c r="AQ76" s="159" t="str">
        <f>IF(D76="","",IF(AX76="Distinctiveness","N/A",VLOOKUP(F76,'10. Condition and Temporal'!$B$6:$L$103,11,FALSE)))</f>
        <v/>
      </c>
      <c r="AR76" s="163" t="str">
        <f>IF(AQ76="","",IF(AQ76="N/A","1",VLOOKUP(AQ76,'11. Lists'!$I$47:$K$80,3,FALSE)))</f>
        <v/>
      </c>
      <c r="AS76" s="178" t="str">
        <f>IF(D76="","",IF(AX76="Condition","N/A",VLOOKUP(F76,'10. Condition and Temporal'!$B$6:$M$106,12,FALSE)))</f>
        <v/>
      </c>
      <c r="AT76" s="163" t="str">
        <f>IF(AS76="","",IF(AS76="N/A","1",VLOOKUP(AS76,'11. Lists'!$I$47:$K$80,3,FALSE)))</f>
        <v/>
      </c>
      <c r="AU76" s="162" t="str">
        <f>IF(D76="","",VLOOKUP(F76,'9. All Habitats + Multipliers'!$C$4:$K$102,8,FALSE))</f>
        <v/>
      </c>
      <c r="AV76" s="160" t="str">
        <f>IF(AU76="","",VLOOKUP(AU76,'11. Lists'!$J$35:$K$38,2,FALSE))</f>
        <v/>
      </c>
      <c r="AW76" s="159" t="str">
        <f>IF(D76="","",VLOOKUP(D76,'10. Condition and Temporal'!$B$6:$M$103,4,FALSE))</f>
        <v/>
      </c>
      <c r="AX76" s="456" t="str">
        <f t="shared" si="30"/>
        <v/>
      </c>
      <c r="AY76" s="476" t="str">
        <v>1</v>
      </c>
      <c r="AZ76" s="473" t="str">
        <v>1</v>
      </c>
      <c r="BA76" s="61">
        <v>11</v>
      </c>
      <c r="BB76" s="60" t="str">
        <f t="shared" si="31"/>
        <v/>
      </c>
      <c r="BC76" s="60" t="str">
        <f t="shared" si="32"/>
        <v/>
      </c>
      <c r="BD76" s="60" t="str">
        <f t="shared" si="33"/>
        <v/>
      </c>
      <c r="BE76" s="60" t="str">
        <f t="shared" si="34"/>
        <v/>
      </c>
      <c r="BF76" s="60" t="str">
        <f t="shared" si="35"/>
        <v/>
      </c>
      <c r="BG76" s="60" t="str">
        <f t="shared" si="36"/>
        <v/>
      </c>
      <c r="BH76" s="60" t="str">
        <f t="shared" si="37"/>
        <v/>
      </c>
      <c r="BI76" s="60" t="str">
        <f t="shared" si="38"/>
        <v/>
      </c>
      <c r="BJ76" s="60" t="str">
        <f t="shared" si="39"/>
        <v/>
      </c>
      <c r="BK76" s="60" t="str">
        <f t="shared" si="40"/>
        <v/>
      </c>
      <c r="BL76" s="60" t="str">
        <f t="shared" si="41"/>
        <v/>
      </c>
      <c r="BM76" s="60" t="str">
        <f t="shared" si="42"/>
        <v/>
      </c>
      <c r="BN76" s="60" t="str">
        <f t="shared" si="43"/>
        <v/>
      </c>
      <c r="BO76" s="60" t="str">
        <f t="shared" si="44"/>
        <v/>
      </c>
      <c r="BP76" s="60" t="str">
        <f t="shared" si="45"/>
        <v/>
      </c>
      <c r="BQ76" s="60" t="str">
        <f t="shared" si="46"/>
        <v/>
      </c>
      <c r="BR76" s="60" t="str">
        <f t="shared" si="47"/>
        <v/>
      </c>
      <c r="BS76" s="60" t="str">
        <f t="shared" si="48"/>
        <v/>
      </c>
      <c r="BT76" s="60" t="str">
        <f t="shared" si="49"/>
        <v/>
      </c>
      <c r="BU76" s="148" t="str">
        <f t="shared" si="50"/>
        <v/>
      </c>
      <c r="BV76" s="225" t="str">
        <f t="shared" si="51"/>
        <v/>
      </c>
      <c r="BW76" s="60" t="s">
        <v>178</v>
      </c>
      <c r="BX76" s="60">
        <f>BL64</f>
        <v>0</v>
      </c>
    </row>
    <row r="77" spans="1:76" s="97" customFormat="1" ht="15.75" customHeight="1" x14ac:dyDescent="0.3">
      <c r="B77" s="286">
        <v>12</v>
      </c>
      <c r="C77" s="164" t="str">
        <f t="shared" si="13"/>
        <v/>
      </c>
      <c r="D77" s="238" t="str">
        <f t="shared" si="14"/>
        <v/>
      </c>
      <c r="E77" s="208" t="str">
        <f t="shared" si="15"/>
        <v/>
      </c>
      <c r="F77" s="733"/>
      <c r="G77" s="734"/>
      <c r="H77" s="205" t="str">
        <f t="shared" si="16"/>
        <v/>
      </c>
      <c r="I77" s="331" t="str">
        <f t="shared" si="17"/>
        <v/>
      </c>
      <c r="J77" s="925" t="str">
        <f>IF(F77="","",VLOOKUP(F77,'10. Condition and Temporal'!$B$6:$F$103,5,FALSE))</f>
        <v/>
      </c>
      <c r="K77" s="926"/>
      <c r="L77" s="25" t="str">
        <f t="shared" si="18"/>
        <v/>
      </c>
      <c r="M77" s="927" t="str">
        <f t="shared" si="19"/>
        <v/>
      </c>
      <c r="N77" s="928"/>
      <c r="O77" s="133"/>
      <c r="P77" s="85"/>
      <c r="R77" s="649"/>
      <c r="T77" s="218" t="str">
        <f t="shared" si="20"/>
        <v/>
      </c>
      <c r="U77" s="159" t="str">
        <f t="shared" si="21"/>
        <v/>
      </c>
      <c r="V77" s="160" t="str">
        <f t="shared" si="22"/>
        <v/>
      </c>
      <c r="W77" s="158" t="str">
        <f t="shared" si="22"/>
        <v/>
      </c>
      <c r="X77" s="61" t="str">
        <f t="shared" si="22"/>
        <v/>
      </c>
      <c r="Y77" s="350"/>
      <c r="Z77" s="350"/>
      <c r="AA77" s="350"/>
      <c r="AB77" s="148" t="str">
        <f t="shared" si="23"/>
        <v/>
      </c>
      <c r="AC77" s="162" t="str">
        <f t="shared" si="24"/>
        <v/>
      </c>
      <c r="AD77" s="160" t="str">
        <f t="shared" si="25"/>
        <v/>
      </c>
      <c r="AE77" s="220" t="str">
        <f t="shared" si="26"/>
        <v/>
      </c>
      <c r="AF77" s="158" t="str">
        <f t="shared" si="27"/>
        <v/>
      </c>
      <c r="AG77" s="159" t="str">
        <f>IF(D77="","",VLOOKUP(F77,'9. All Habitats + Multipliers'!$C$4:$K$102,5,FALSE))</f>
        <v/>
      </c>
      <c r="AH77" s="160" t="str">
        <f>IF(AG77="","",VLOOKUP(AG77,'11. Lists'!$B$47:$D$49,2,FALSE))</f>
        <v/>
      </c>
      <c r="AI77" s="159" t="str">
        <f t="shared" si="28"/>
        <v/>
      </c>
      <c r="AJ77" s="471" t="str">
        <f>IF(AI77="","",VLOOKUP(AI77,'11. Lists'!$F$47:$G$51,2,FALSE))</f>
        <v/>
      </c>
      <c r="AK77" s="472"/>
      <c r="AL77" s="472"/>
      <c r="AM77" s="472"/>
      <c r="AN77" s="471" t="str">
        <f t="shared" si="29"/>
        <v/>
      </c>
      <c r="AO77" s="161" t="str">
        <f>IF(AN77="","",VLOOKUP(AN77,'11. Lists'!$F$36:$H$38,2,FALSE))</f>
        <v/>
      </c>
      <c r="AP77" s="160" t="str">
        <f>IF(AN77="","",VLOOKUP(AN77,'11. Lists'!$F$36:$H$38,3,FALSE))</f>
        <v/>
      </c>
      <c r="AQ77" s="159" t="str">
        <f>IF(D77="","",IF(AX77="Distinctiveness","N/A",VLOOKUP(F77,'10. Condition and Temporal'!$B$6:$L$103,11,FALSE)))</f>
        <v/>
      </c>
      <c r="AR77" s="163" t="str">
        <f>IF(AQ77="","",IF(AQ77="N/A","1",VLOOKUP(AQ77,'11. Lists'!$I$47:$K$80,3,FALSE)))</f>
        <v/>
      </c>
      <c r="AS77" s="178" t="str">
        <f>IF(D77="","",IF(AX77="Condition","N/A",VLOOKUP(F77,'10. Condition and Temporal'!$B$6:$M$106,12,FALSE)))</f>
        <v/>
      </c>
      <c r="AT77" s="163" t="str">
        <f>IF(AS77="","",IF(AS77="N/A","1",VLOOKUP(AS77,'11. Lists'!$I$47:$K$80,3,FALSE)))</f>
        <v/>
      </c>
      <c r="AU77" s="162" t="str">
        <f>IF(D77="","",VLOOKUP(F77,'9. All Habitats + Multipliers'!$C$4:$K$102,8,FALSE))</f>
        <v/>
      </c>
      <c r="AV77" s="160" t="str">
        <f>IF(AU77="","",VLOOKUP(AU77,'11. Lists'!$J$35:$K$38,2,FALSE))</f>
        <v/>
      </c>
      <c r="AW77" s="159" t="str">
        <f>IF(D77="","",VLOOKUP(D77,'10. Condition and Temporal'!$B$6:$M$103,4,FALSE))</f>
        <v/>
      </c>
      <c r="AX77" s="456" t="str">
        <f t="shared" si="30"/>
        <v/>
      </c>
      <c r="AY77" s="476" t="str">
        <v>1</v>
      </c>
      <c r="AZ77" s="473" t="str">
        <v>1</v>
      </c>
      <c r="BA77" s="61">
        <v>12</v>
      </c>
      <c r="BB77" s="60" t="str">
        <f t="shared" si="31"/>
        <v/>
      </c>
      <c r="BC77" s="60" t="str">
        <f t="shared" si="32"/>
        <v/>
      </c>
      <c r="BD77" s="60" t="str">
        <f t="shared" si="33"/>
        <v/>
      </c>
      <c r="BE77" s="60" t="str">
        <f t="shared" si="34"/>
        <v/>
      </c>
      <c r="BF77" s="60" t="str">
        <f t="shared" si="35"/>
        <v/>
      </c>
      <c r="BG77" s="60" t="str">
        <f t="shared" si="36"/>
        <v/>
      </c>
      <c r="BH77" s="60" t="str">
        <f t="shared" si="37"/>
        <v/>
      </c>
      <c r="BI77" s="60" t="str">
        <f t="shared" si="38"/>
        <v/>
      </c>
      <c r="BJ77" s="60" t="str">
        <f t="shared" si="39"/>
        <v/>
      </c>
      <c r="BK77" s="60" t="str">
        <f t="shared" si="40"/>
        <v/>
      </c>
      <c r="BL77" s="60" t="str">
        <f t="shared" si="41"/>
        <v/>
      </c>
      <c r="BM77" s="60" t="str">
        <f t="shared" si="42"/>
        <v/>
      </c>
      <c r="BN77" s="60" t="str">
        <f t="shared" si="43"/>
        <v/>
      </c>
      <c r="BO77" s="60" t="str">
        <f t="shared" si="44"/>
        <v/>
      </c>
      <c r="BP77" s="60" t="str">
        <f t="shared" si="45"/>
        <v/>
      </c>
      <c r="BQ77" s="60" t="str">
        <f t="shared" si="46"/>
        <v/>
      </c>
      <c r="BR77" s="60" t="str">
        <f t="shared" si="47"/>
        <v/>
      </c>
      <c r="BS77" s="60" t="str">
        <f t="shared" si="48"/>
        <v/>
      </c>
      <c r="BT77" s="60" t="str">
        <f t="shared" si="49"/>
        <v/>
      </c>
      <c r="BU77" s="148" t="str">
        <f t="shared" si="50"/>
        <v/>
      </c>
      <c r="BV77" s="225" t="str">
        <f t="shared" si="51"/>
        <v/>
      </c>
      <c r="BW77" s="60" t="s">
        <v>179</v>
      </c>
      <c r="BX77" s="60">
        <f>BM64</f>
        <v>0</v>
      </c>
    </row>
    <row r="78" spans="1:76" s="97" customFormat="1" ht="15.75" customHeight="1" x14ac:dyDescent="0.3">
      <c r="B78" s="286">
        <v>13</v>
      </c>
      <c r="C78" s="164" t="str">
        <f t="shared" si="13"/>
        <v/>
      </c>
      <c r="D78" s="238" t="str">
        <f t="shared" si="14"/>
        <v/>
      </c>
      <c r="E78" s="208" t="str">
        <f t="shared" si="15"/>
        <v/>
      </c>
      <c r="F78" s="733"/>
      <c r="G78" s="734"/>
      <c r="H78" s="205" t="str">
        <f t="shared" si="16"/>
        <v/>
      </c>
      <c r="I78" s="331" t="str">
        <f t="shared" si="17"/>
        <v/>
      </c>
      <c r="J78" s="925" t="str">
        <f>IF(F78="","",VLOOKUP(F78,'10. Condition and Temporal'!$B$6:$F$103,5,FALSE))</f>
        <v/>
      </c>
      <c r="K78" s="926"/>
      <c r="L78" s="25" t="str">
        <f t="shared" si="18"/>
        <v/>
      </c>
      <c r="M78" s="927" t="str">
        <f t="shared" si="19"/>
        <v/>
      </c>
      <c r="N78" s="928"/>
      <c r="O78" s="133"/>
      <c r="P78" s="85"/>
      <c r="R78" s="649"/>
      <c r="T78" s="218" t="str">
        <f t="shared" si="20"/>
        <v/>
      </c>
      <c r="U78" s="159" t="str">
        <f t="shared" si="21"/>
        <v/>
      </c>
      <c r="V78" s="160" t="str">
        <f t="shared" si="22"/>
        <v/>
      </c>
      <c r="W78" s="158" t="str">
        <f t="shared" si="22"/>
        <v/>
      </c>
      <c r="X78" s="61" t="str">
        <f t="shared" si="22"/>
        <v/>
      </c>
      <c r="Y78" s="350"/>
      <c r="Z78" s="350"/>
      <c r="AA78" s="350"/>
      <c r="AB78" s="148" t="str">
        <f t="shared" si="23"/>
        <v/>
      </c>
      <c r="AC78" s="162" t="str">
        <f t="shared" si="24"/>
        <v/>
      </c>
      <c r="AD78" s="160" t="str">
        <f t="shared" si="25"/>
        <v/>
      </c>
      <c r="AE78" s="220" t="str">
        <f t="shared" si="26"/>
        <v/>
      </c>
      <c r="AF78" s="158" t="str">
        <f t="shared" si="27"/>
        <v/>
      </c>
      <c r="AG78" s="159" t="str">
        <f>IF(D78="","",VLOOKUP(F78,'9. All Habitats + Multipliers'!$C$4:$K$102,5,FALSE))</f>
        <v/>
      </c>
      <c r="AH78" s="160" t="str">
        <f>IF(AG78="","",VLOOKUP(AG78,'11. Lists'!$B$47:$D$49,2,FALSE))</f>
        <v/>
      </c>
      <c r="AI78" s="159" t="str">
        <f t="shared" si="28"/>
        <v/>
      </c>
      <c r="AJ78" s="471" t="str">
        <f>IF(AI78="","",VLOOKUP(AI78,'11. Lists'!$F$47:$G$51,2,FALSE))</f>
        <v/>
      </c>
      <c r="AK78" s="472"/>
      <c r="AL78" s="472"/>
      <c r="AM78" s="472"/>
      <c r="AN78" s="471" t="str">
        <f t="shared" si="29"/>
        <v/>
      </c>
      <c r="AO78" s="161" t="str">
        <f>IF(AN78="","",VLOOKUP(AN78,'11. Lists'!$F$36:$H$38,2,FALSE))</f>
        <v/>
      </c>
      <c r="AP78" s="160" t="str">
        <f>IF(AN78="","",VLOOKUP(AN78,'11. Lists'!$F$36:$H$38,3,FALSE))</f>
        <v/>
      </c>
      <c r="AQ78" s="159" t="str">
        <f>IF(D78="","",IF(AX78="Distinctiveness","N/A",VLOOKUP(F78,'10. Condition and Temporal'!$B$6:$L$103,11,FALSE)))</f>
        <v/>
      </c>
      <c r="AR78" s="163" t="str">
        <f>IF(AQ78="","",IF(AQ78="N/A","1",VLOOKUP(AQ78,'11. Lists'!$I$47:$K$80,3,FALSE)))</f>
        <v/>
      </c>
      <c r="AS78" s="178" t="str">
        <f>IF(D78="","",IF(AX78="Condition","N/A",VLOOKUP(F78,'10. Condition and Temporal'!$B$6:$M$106,12,FALSE)))</f>
        <v/>
      </c>
      <c r="AT78" s="163" t="str">
        <f>IF(AS78="","",IF(AS78="N/A","1",VLOOKUP(AS78,'11. Lists'!$I$47:$K$80,3,FALSE)))</f>
        <v/>
      </c>
      <c r="AU78" s="162" t="str">
        <f>IF(D78="","",VLOOKUP(F78,'9. All Habitats + Multipliers'!$C$4:$K$102,8,FALSE))</f>
        <v/>
      </c>
      <c r="AV78" s="160" t="str">
        <f>IF(AU78="","",VLOOKUP(AU78,'11. Lists'!$J$35:$K$38,2,FALSE))</f>
        <v/>
      </c>
      <c r="AW78" s="159" t="str">
        <f>IF(D78="","",VLOOKUP(D78,'10. Condition and Temporal'!$B$6:$M$103,4,FALSE))</f>
        <v/>
      </c>
      <c r="AX78" s="456" t="str">
        <f t="shared" si="30"/>
        <v/>
      </c>
      <c r="AY78" s="476" t="str">
        <v>1</v>
      </c>
      <c r="AZ78" s="473" t="str">
        <v>1</v>
      </c>
      <c r="BA78" s="61">
        <v>13</v>
      </c>
      <c r="BB78" s="60" t="str">
        <f t="shared" si="31"/>
        <v/>
      </c>
      <c r="BC78" s="60" t="str">
        <f t="shared" si="32"/>
        <v/>
      </c>
      <c r="BD78" s="60" t="str">
        <f t="shared" si="33"/>
        <v/>
      </c>
      <c r="BE78" s="60" t="str">
        <f t="shared" si="34"/>
        <v/>
      </c>
      <c r="BF78" s="60" t="str">
        <f t="shared" si="35"/>
        <v/>
      </c>
      <c r="BG78" s="60" t="str">
        <f t="shared" si="36"/>
        <v/>
      </c>
      <c r="BH78" s="60" t="str">
        <f t="shared" si="37"/>
        <v/>
      </c>
      <c r="BI78" s="60" t="str">
        <f t="shared" si="38"/>
        <v/>
      </c>
      <c r="BJ78" s="60" t="str">
        <f t="shared" si="39"/>
        <v/>
      </c>
      <c r="BK78" s="60" t="str">
        <f t="shared" si="40"/>
        <v/>
      </c>
      <c r="BL78" s="60" t="str">
        <f t="shared" si="41"/>
        <v/>
      </c>
      <c r="BM78" s="60" t="str">
        <f t="shared" si="42"/>
        <v/>
      </c>
      <c r="BN78" s="60" t="str">
        <f t="shared" si="43"/>
        <v/>
      </c>
      <c r="BO78" s="60" t="str">
        <f t="shared" si="44"/>
        <v/>
      </c>
      <c r="BP78" s="60" t="str">
        <f t="shared" si="45"/>
        <v/>
      </c>
      <c r="BQ78" s="60" t="str">
        <f t="shared" si="46"/>
        <v/>
      </c>
      <c r="BR78" s="60" t="str">
        <f t="shared" si="47"/>
        <v/>
      </c>
      <c r="BS78" s="60" t="str">
        <f t="shared" si="48"/>
        <v/>
      </c>
      <c r="BT78" s="60" t="str">
        <f t="shared" si="49"/>
        <v/>
      </c>
      <c r="BU78" s="148" t="str">
        <f t="shared" si="50"/>
        <v/>
      </c>
      <c r="BV78" s="225" t="str">
        <f t="shared" si="51"/>
        <v/>
      </c>
      <c r="BW78" s="60" t="s">
        <v>180</v>
      </c>
      <c r="BX78" s="60">
        <f>BN64</f>
        <v>0</v>
      </c>
    </row>
    <row r="79" spans="1:76" s="97" customFormat="1" ht="15.45" customHeight="1" x14ac:dyDescent="0.3">
      <c r="B79" s="286">
        <v>14</v>
      </c>
      <c r="C79" s="164" t="str">
        <f t="shared" si="13"/>
        <v/>
      </c>
      <c r="D79" s="238" t="str">
        <f t="shared" si="14"/>
        <v/>
      </c>
      <c r="E79" s="208" t="str">
        <f t="shared" si="15"/>
        <v/>
      </c>
      <c r="F79" s="733"/>
      <c r="G79" s="734"/>
      <c r="H79" s="205" t="str">
        <f t="shared" si="16"/>
        <v/>
      </c>
      <c r="I79" s="331" t="str">
        <f t="shared" si="17"/>
        <v/>
      </c>
      <c r="J79" s="925" t="str">
        <f>IF(F79="","",VLOOKUP(F79,'10. Condition and Temporal'!$B$6:$F$103,5,FALSE))</f>
        <v/>
      </c>
      <c r="K79" s="926"/>
      <c r="L79" s="25" t="str">
        <f t="shared" si="18"/>
        <v/>
      </c>
      <c r="M79" s="927" t="str">
        <f t="shared" si="19"/>
        <v/>
      </c>
      <c r="N79" s="928"/>
      <c r="O79" s="133"/>
      <c r="P79" s="85"/>
      <c r="R79" s="649"/>
      <c r="T79" s="218" t="str">
        <f t="shared" si="20"/>
        <v/>
      </c>
      <c r="U79" s="159" t="str">
        <f t="shared" si="21"/>
        <v/>
      </c>
      <c r="V79" s="160" t="str">
        <f t="shared" si="22"/>
        <v/>
      </c>
      <c r="W79" s="158" t="str">
        <f t="shared" si="22"/>
        <v/>
      </c>
      <c r="X79" s="61" t="str">
        <f t="shared" si="22"/>
        <v/>
      </c>
      <c r="Y79" s="350"/>
      <c r="Z79" s="350"/>
      <c r="AA79" s="350"/>
      <c r="AB79" s="148" t="str">
        <f t="shared" si="23"/>
        <v/>
      </c>
      <c r="AC79" s="162" t="str">
        <f t="shared" si="24"/>
        <v/>
      </c>
      <c r="AD79" s="160" t="str">
        <f t="shared" si="25"/>
        <v/>
      </c>
      <c r="AE79" s="220" t="str">
        <f t="shared" si="26"/>
        <v/>
      </c>
      <c r="AF79" s="158" t="str">
        <f t="shared" si="27"/>
        <v/>
      </c>
      <c r="AG79" s="159" t="str">
        <f>IF(D79="","",VLOOKUP(F79,'9. All Habitats + Multipliers'!$C$4:$K$102,5,FALSE))</f>
        <v/>
      </c>
      <c r="AH79" s="160" t="str">
        <f>IF(AG79="","",VLOOKUP(AG79,'11. Lists'!$B$47:$D$49,2,FALSE))</f>
        <v/>
      </c>
      <c r="AI79" s="159" t="str">
        <f t="shared" si="28"/>
        <v/>
      </c>
      <c r="AJ79" s="471" t="str">
        <f>IF(AI79="","",VLOOKUP(AI79,'11. Lists'!$F$47:$G$51,2,FALSE))</f>
        <v/>
      </c>
      <c r="AK79" s="472"/>
      <c r="AL79" s="472"/>
      <c r="AM79" s="472"/>
      <c r="AN79" s="471" t="str">
        <f t="shared" si="29"/>
        <v/>
      </c>
      <c r="AO79" s="161" t="str">
        <f>IF(AN79="","",VLOOKUP(AN79,'11. Lists'!$F$36:$H$38,2,FALSE))</f>
        <v/>
      </c>
      <c r="AP79" s="160" t="str">
        <f>IF(AN79="","",VLOOKUP(AN79,'11. Lists'!$F$36:$H$38,3,FALSE))</f>
        <v/>
      </c>
      <c r="AQ79" s="159" t="str">
        <f>IF(D79="","",IF(AX79="Distinctiveness","N/A",VLOOKUP(F79,'10. Condition and Temporal'!$B$6:$L$103,11,FALSE)))</f>
        <v/>
      </c>
      <c r="AR79" s="163" t="str">
        <f>IF(AQ79="","",IF(AQ79="N/A","1",VLOOKUP(AQ79,'11. Lists'!$I$47:$K$80,3,FALSE)))</f>
        <v/>
      </c>
      <c r="AS79" s="178" t="str">
        <f>IF(D79="","",IF(AX79="Condition","N/A",VLOOKUP(F79,'10. Condition and Temporal'!$B$6:$M$106,12,FALSE)))</f>
        <v/>
      </c>
      <c r="AT79" s="163" t="str">
        <f>IF(AS79="","",IF(AS79="N/A","1",VLOOKUP(AS79,'11. Lists'!$I$47:$K$80,3,FALSE)))</f>
        <v/>
      </c>
      <c r="AU79" s="162" t="str">
        <f>IF(D79="","",VLOOKUP(F79,'9. All Habitats + Multipliers'!$C$4:$K$102,8,FALSE))</f>
        <v/>
      </c>
      <c r="AV79" s="160" t="str">
        <f>IF(AU79="","",VLOOKUP(AU79,'11. Lists'!$J$35:$K$38,2,FALSE))</f>
        <v/>
      </c>
      <c r="AW79" s="159" t="str">
        <f>IF(D79="","",VLOOKUP(D79,'10. Condition and Temporal'!$B$6:$M$103,4,FALSE))</f>
        <v/>
      </c>
      <c r="AX79" s="456" t="str">
        <f t="shared" si="30"/>
        <v/>
      </c>
      <c r="AY79" s="476" t="str">
        <v>1</v>
      </c>
      <c r="AZ79" s="473" t="str">
        <v>1</v>
      </c>
      <c r="BA79" s="61">
        <v>14</v>
      </c>
      <c r="BB79" s="60" t="str">
        <f t="shared" si="31"/>
        <v/>
      </c>
      <c r="BC79" s="60" t="str">
        <f t="shared" si="32"/>
        <v/>
      </c>
      <c r="BD79" s="60" t="str">
        <f t="shared" si="33"/>
        <v/>
      </c>
      <c r="BE79" s="60" t="str">
        <f t="shared" si="34"/>
        <v/>
      </c>
      <c r="BF79" s="60" t="str">
        <f t="shared" si="35"/>
        <v/>
      </c>
      <c r="BG79" s="60" t="str">
        <f t="shared" si="36"/>
        <v/>
      </c>
      <c r="BH79" s="60" t="str">
        <f t="shared" si="37"/>
        <v/>
      </c>
      <c r="BI79" s="60" t="str">
        <f t="shared" si="38"/>
        <v/>
      </c>
      <c r="BJ79" s="60" t="str">
        <f t="shared" si="39"/>
        <v/>
      </c>
      <c r="BK79" s="60" t="str">
        <f t="shared" si="40"/>
        <v/>
      </c>
      <c r="BL79" s="60" t="str">
        <f t="shared" si="41"/>
        <v/>
      </c>
      <c r="BM79" s="60" t="str">
        <f t="shared" si="42"/>
        <v/>
      </c>
      <c r="BN79" s="60" t="str">
        <f t="shared" si="43"/>
        <v/>
      </c>
      <c r="BO79" s="60" t="str">
        <f t="shared" si="44"/>
        <v/>
      </c>
      <c r="BP79" s="60" t="str">
        <f t="shared" si="45"/>
        <v/>
      </c>
      <c r="BQ79" s="60" t="str">
        <f t="shared" si="46"/>
        <v/>
      </c>
      <c r="BR79" s="60" t="str">
        <f t="shared" si="47"/>
        <v/>
      </c>
      <c r="BS79" s="60" t="str">
        <f t="shared" si="48"/>
        <v/>
      </c>
      <c r="BT79" s="60" t="str">
        <f t="shared" si="49"/>
        <v/>
      </c>
      <c r="BU79" s="148" t="str">
        <f t="shared" si="50"/>
        <v/>
      </c>
      <c r="BV79" s="225" t="str">
        <f t="shared" si="51"/>
        <v/>
      </c>
      <c r="BW79" s="60" t="s">
        <v>181</v>
      </c>
      <c r="BX79" s="60">
        <f>BO64</f>
        <v>0</v>
      </c>
    </row>
    <row r="80" spans="1:76" s="97" customFormat="1" ht="15.75" customHeight="1" x14ac:dyDescent="0.3">
      <c r="B80" s="286">
        <v>15</v>
      </c>
      <c r="C80" s="164" t="str">
        <f t="shared" si="13"/>
        <v/>
      </c>
      <c r="D80" s="238" t="str">
        <f t="shared" si="14"/>
        <v/>
      </c>
      <c r="E80" s="208" t="str">
        <f t="shared" si="15"/>
        <v/>
      </c>
      <c r="F80" s="733"/>
      <c r="G80" s="734"/>
      <c r="H80" s="205" t="str">
        <f t="shared" si="16"/>
        <v/>
      </c>
      <c r="I80" s="331" t="str">
        <f t="shared" si="17"/>
        <v/>
      </c>
      <c r="J80" s="925" t="str">
        <f>IF(F80="","",VLOOKUP(F80,'10. Condition and Temporal'!$B$6:$F$103,5,FALSE))</f>
        <v/>
      </c>
      <c r="K80" s="926"/>
      <c r="L80" s="25" t="str">
        <f t="shared" si="18"/>
        <v/>
      </c>
      <c r="M80" s="927" t="str">
        <f t="shared" si="19"/>
        <v/>
      </c>
      <c r="N80" s="928"/>
      <c r="O80" s="133"/>
      <c r="P80" s="85"/>
      <c r="R80" s="649"/>
      <c r="T80" s="218" t="str">
        <f t="shared" si="20"/>
        <v/>
      </c>
      <c r="U80" s="159" t="str">
        <f t="shared" si="21"/>
        <v/>
      </c>
      <c r="V80" s="160" t="str">
        <f t="shared" si="22"/>
        <v/>
      </c>
      <c r="W80" s="158" t="str">
        <f t="shared" si="22"/>
        <v/>
      </c>
      <c r="X80" s="61" t="str">
        <f t="shared" si="22"/>
        <v/>
      </c>
      <c r="Y80" s="350"/>
      <c r="Z80" s="350"/>
      <c r="AA80" s="350"/>
      <c r="AB80" s="148" t="str">
        <f t="shared" si="23"/>
        <v/>
      </c>
      <c r="AC80" s="162" t="str">
        <f t="shared" si="24"/>
        <v/>
      </c>
      <c r="AD80" s="160" t="str">
        <f t="shared" si="25"/>
        <v/>
      </c>
      <c r="AE80" s="220" t="str">
        <f t="shared" si="26"/>
        <v/>
      </c>
      <c r="AF80" s="158" t="str">
        <f t="shared" si="27"/>
        <v/>
      </c>
      <c r="AG80" s="159" t="str">
        <f>IF(D80="","",VLOOKUP(F80,'9. All Habitats + Multipliers'!$C$4:$K$102,5,FALSE))</f>
        <v/>
      </c>
      <c r="AH80" s="160" t="str">
        <f>IF(AG80="","",VLOOKUP(AG80,'11. Lists'!$B$47:$D$49,2,FALSE))</f>
        <v/>
      </c>
      <c r="AI80" s="159" t="str">
        <f t="shared" si="28"/>
        <v/>
      </c>
      <c r="AJ80" s="471" t="str">
        <f>IF(AI80="","",VLOOKUP(AI80,'11. Lists'!$F$47:$G$51,2,FALSE))</f>
        <v/>
      </c>
      <c r="AK80" s="472"/>
      <c r="AL80" s="472"/>
      <c r="AM80" s="472"/>
      <c r="AN80" s="471" t="str">
        <f t="shared" si="29"/>
        <v/>
      </c>
      <c r="AO80" s="161" t="str">
        <f>IF(AN80="","",VLOOKUP(AN80,'11. Lists'!$F$36:$H$38,2,FALSE))</f>
        <v/>
      </c>
      <c r="AP80" s="160" t="str">
        <f>IF(AN80="","",VLOOKUP(AN80,'11. Lists'!$F$36:$H$38,3,FALSE))</f>
        <v/>
      </c>
      <c r="AQ80" s="159" t="str">
        <f>IF(D80="","",IF(AX80="Distinctiveness","N/A",VLOOKUP(F80,'10. Condition and Temporal'!$B$6:$L$103,11,FALSE)))</f>
        <v/>
      </c>
      <c r="AR80" s="163" t="str">
        <f>IF(AQ80="","",IF(AQ80="N/A","1",VLOOKUP(AQ80,'11. Lists'!$I$47:$K$80,3,FALSE)))</f>
        <v/>
      </c>
      <c r="AS80" s="178" t="str">
        <f>IF(D80="","",IF(AX80="Condition","N/A",VLOOKUP(F80,'10. Condition and Temporal'!$B$6:$M$106,12,FALSE)))</f>
        <v/>
      </c>
      <c r="AT80" s="163" t="str">
        <f>IF(AS80="","",IF(AS80="N/A","1",VLOOKUP(AS80,'11. Lists'!$I$47:$K$80,3,FALSE)))</f>
        <v/>
      </c>
      <c r="AU80" s="162" t="str">
        <f>IF(D80="","",VLOOKUP(F80,'9. All Habitats + Multipliers'!$C$4:$K$102,8,FALSE))</f>
        <v/>
      </c>
      <c r="AV80" s="160" t="str">
        <f>IF(AU80="","",VLOOKUP(AU80,'11. Lists'!$J$35:$K$38,2,FALSE))</f>
        <v/>
      </c>
      <c r="AW80" s="159" t="str">
        <f>IF(D80="","",VLOOKUP(D80,'10. Condition and Temporal'!$B$6:$M$103,4,FALSE))</f>
        <v/>
      </c>
      <c r="AX80" s="456" t="str">
        <f t="shared" si="30"/>
        <v/>
      </c>
      <c r="AY80" s="476" t="str">
        <v>1</v>
      </c>
      <c r="AZ80" s="473" t="str">
        <v>1</v>
      </c>
      <c r="BA80" s="61">
        <v>15</v>
      </c>
      <c r="BB80" s="60" t="str">
        <f t="shared" si="31"/>
        <v/>
      </c>
      <c r="BC80" s="60" t="str">
        <f t="shared" si="32"/>
        <v/>
      </c>
      <c r="BD80" s="60" t="str">
        <f t="shared" si="33"/>
        <v/>
      </c>
      <c r="BE80" s="60" t="str">
        <f t="shared" si="34"/>
        <v/>
      </c>
      <c r="BF80" s="60" t="str">
        <f t="shared" si="35"/>
        <v/>
      </c>
      <c r="BG80" s="60" t="str">
        <f t="shared" si="36"/>
        <v/>
      </c>
      <c r="BH80" s="60" t="str">
        <f t="shared" si="37"/>
        <v/>
      </c>
      <c r="BI80" s="60" t="str">
        <f t="shared" si="38"/>
        <v/>
      </c>
      <c r="BJ80" s="60" t="str">
        <f t="shared" si="39"/>
        <v/>
      </c>
      <c r="BK80" s="60" t="str">
        <f t="shared" si="40"/>
        <v/>
      </c>
      <c r="BL80" s="60" t="str">
        <f t="shared" si="41"/>
        <v/>
      </c>
      <c r="BM80" s="60" t="str">
        <f t="shared" si="42"/>
        <v/>
      </c>
      <c r="BN80" s="60" t="str">
        <f t="shared" si="43"/>
        <v/>
      </c>
      <c r="BO80" s="60" t="str">
        <f t="shared" si="44"/>
        <v/>
      </c>
      <c r="BP80" s="60" t="str">
        <f t="shared" si="45"/>
        <v/>
      </c>
      <c r="BQ80" s="60" t="str">
        <f t="shared" si="46"/>
        <v/>
      </c>
      <c r="BR80" s="60" t="str">
        <f t="shared" si="47"/>
        <v/>
      </c>
      <c r="BS80" s="60" t="str">
        <f t="shared" si="48"/>
        <v/>
      </c>
      <c r="BT80" s="60" t="str">
        <f t="shared" si="49"/>
        <v/>
      </c>
      <c r="BU80" s="148" t="str">
        <f t="shared" si="50"/>
        <v/>
      </c>
      <c r="BV80" s="225" t="str">
        <f t="shared" si="51"/>
        <v/>
      </c>
      <c r="BW80" s="60" t="s">
        <v>182</v>
      </c>
      <c r="BX80" s="60">
        <f>BP64</f>
        <v>0</v>
      </c>
    </row>
    <row r="81" spans="1:76" s="97" customFormat="1" ht="15.75" customHeight="1" x14ac:dyDescent="0.3">
      <c r="B81" s="286">
        <v>16</v>
      </c>
      <c r="C81" s="164" t="str">
        <f t="shared" si="13"/>
        <v/>
      </c>
      <c r="D81" s="238" t="str">
        <f t="shared" si="14"/>
        <v/>
      </c>
      <c r="E81" s="208" t="str">
        <f t="shared" si="15"/>
        <v/>
      </c>
      <c r="F81" s="733"/>
      <c r="G81" s="734"/>
      <c r="H81" s="205" t="str">
        <f t="shared" si="16"/>
        <v/>
      </c>
      <c r="I81" s="331" t="str">
        <f t="shared" si="17"/>
        <v/>
      </c>
      <c r="J81" s="925" t="str">
        <f>IF(F81="","",VLOOKUP(F81,'10. Condition and Temporal'!$B$6:$F$103,5,FALSE))</f>
        <v/>
      </c>
      <c r="K81" s="926"/>
      <c r="L81" s="25" t="str">
        <f t="shared" si="18"/>
        <v/>
      </c>
      <c r="M81" s="927" t="str">
        <f t="shared" si="19"/>
        <v/>
      </c>
      <c r="N81" s="928"/>
      <c r="O81" s="133"/>
      <c r="P81" s="85"/>
      <c r="R81" s="649"/>
      <c r="T81" s="218" t="str">
        <f t="shared" si="20"/>
        <v/>
      </c>
      <c r="U81" s="159" t="str">
        <f t="shared" si="21"/>
        <v/>
      </c>
      <c r="V81" s="160" t="str">
        <f t="shared" si="22"/>
        <v/>
      </c>
      <c r="W81" s="158" t="str">
        <f t="shared" si="22"/>
        <v/>
      </c>
      <c r="X81" s="61" t="str">
        <f t="shared" si="22"/>
        <v/>
      </c>
      <c r="Y81" s="350"/>
      <c r="Z81" s="350"/>
      <c r="AA81" s="350"/>
      <c r="AB81" s="148" t="str">
        <f t="shared" si="23"/>
        <v/>
      </c>
      <c r="AC81" s="162" t="str">
        <f t="shared" si="24"/>
        <v/>
      </c>
      <c r="AD81" s="160" t="str">
        <f t="shared" si="25"/>
        <v/>
      </c>
      <c r="AE81" s="220" t="str">
        <f t="shared" si="26"/>
        <v/>
      </c>
      <c r="AF81" s="158" t="str">
        <f t="shared" si="27"/>
        <v/>
      </c>
      <c r="AG81" s="159" t="str">
        <f>IF(D81="","",VLOOKUP(F81,'9. All Habitats + Multipliers'!$C$4:$K$102,5,FALSE))</f>
        <v/>
      </c>
      <c r="AH81" s="160" t="str">
        <f>IF(AG81="","",VLOOKUP(AG81,'11. Lists'!$B$47:$D$49,2,FALSE))</f>
        <v/>
      </c>
      <c r="AI81" s="159" t="str">
        <f t="shared" si="28"/>
        <v/>
      </c>
      <c r="AJ81" s="471" t="str">
        <f>IF(AI81="","",VLOOKUP(AI81,'11. Lists'!$F$47:$G$51,2,FALSE))</f>
        <v/>
      </c>
      <c r="AK81" s="472"/>
      <c r="AL81" s="472"/>
      <c r="AM81" s="472"/>
      <c r="AN81" s="471" t="str">
        <f t="shared" si="29"/>
        <v/>
      </c>
      <c r="AO81" s="161" t="str">
        <f>IF(AN81="","",VLOOKUP(AN81,'11. Lists'!$F$36:$H$38,2,FALSE))</f>
        <v/>
      </c>
      <c r="AP81" s="160" t="str">
        <f>IF(AN81="","",VLOOKUP(AN81,'11. Lists'!$F$36:$H$38,3,FALSE))</f>
        <v/>
      </c>
      <c r="AQ81" s="159" t="str">
        <f>IF(D81="","",IF(AX81="Distinctiveness","N/A",VLOOKUP(F81,'10. Condition and Temporal'!$B$6:$L$103,11,FALSE)))</f>
        <v/>
      </c>
      <c r="AR81" s="163" t="str">
        <f>IF(AQ81="","",IF(AQ81="N/A","1",VLOOKUP(AQ81,'11. Lists'!$I$47:$K$80,3,FALSE)))</f>
        <v/>
      </c>
      <c r="AS81" s="178" t="str">
        <f>IF(D81="","",IF(AX81="Condition","N/A",VLOOKUP(F81,'10. Condition and Temporal'!$B$6:$M$106,12,FALSE)))</f>
        <v/>
      </c>
      <c r="AT81" s="163" t="str">
        <f>IF(AS81="","",IF(AS81="N/A","1",VLOOKUP(AS81,'11. Lists'!$I$47:$K$80,3,FALSE)))</f>
        <v/>
      </c>
      <c r="AU81" s="162" t="str">
        <f>IF(D81="","",VLOOKUP(F81,'9. All Habitats + Multipliers'!$C$4:$K$102,8,FALSE))</f>
        <v/>
      </c>
      <c r="AV81" s="160" t="str">
        <f>IF(AU81="","",VLOOKUP(AU81,'11. Lists'!$J$35:$K$38,2,FALSE))</f>
        <v/>
      </c>
      <c r="AW81" s="159" t="str">
        <f>IF(D81="","",VLOOKUP(D81,'10. Condition and Temporal'!$B$6:$M$103,4,FALSE))</f>
        <v/>
      </c>
      <c r="AX81" s="456" t="str">
        <f t="shared" si="30"/>
        <v/>
      </c>
      <c r="AY81" s="476" t="str">
        <v>1</v>
      </c>
      <c r="AZ81" s="473" t="str">
        <v>1</v>
      </c>
      <c r="BA81" s="61">
        <v>16</v>
      </c>
      <c r="BB81" s="60" t="str">
        <f t="shared" si="31"/>
        <v/>
      </c>
      <c r="BC81" s="60" t="str">
        <f t="shared" si="32"/>
        <v/>
      </c>
      <c r="BD81" s="60" t="str">
        <f t="shared" si="33"/>
        <v/>
      </c>
      <c r="BE81" s="60" t="str">
        <f t="shared" si="34"/>
        <v/>
      </c>
      <c r="BF81" s="60" t="str">
        <f t="shared" si="35"/>
        <v/>
      </c>
      <c r="BG81" s="60" t="str">
        <f t="shared" si="36"/>
        <v/>
      </c>
      <c r="BH81" s="60" t="str">
        <f t="shared" si="37"/>
        <v/>
      </c>
      <c r="BI81" s="60" t="str">
        <f t="shared" si="38"/>
        <v/>
      </c>
      <c r="BJ81" s="60" t="str">
        <f t="shared" si="39"/>
        <v/>
      </c>
      <c r="BK81" s="60" t="str">
        <f t="shared" si="40"/>
        <v/>
      </c>
      <c r="BL81" s="60" t="str">
        <f t="shared" si="41"/>
        <v/>
      </c>
      <c r="BM81" s="60" t="str">
        <f t="shared" si="42"/>
        <v/>
      </c>
      <c r="BN81" s="60" t="str">
        <f t="shared" si="43"/>
        <v/>
      </c>
      <c r="BO81" s="60" t="str">
        <f t="shared" si="44"/>
        <v/>
      </c>
      <c r="BP81" s="60" t="str">
        <f t="shared" si="45"/>
        <v/>
      </c>
      <c r="BQ81" s="60" t="str">
        <f t="shared" si="46"/>
        <v/>
      </c>
      <c r="BR81" s="60" t="str">
        <f t="shared" si="47"/>
        <v/>
      </c>
      <c r="BS81" s="60" t="str">
        <f t="shared" si="48"/>
        <v/>
      </c>
      <c r="BT81" s="60" t="str">
        <f t="shared" si="49"/>
        <v/>
      </c>
      <c r="BU81" s="148" t="str">
        <f t="shared" si="50"/>
        <v/>
      </c>
      <c r="BV81" s="225" t="str">
        <f t="shared" si="51"/>
        <v/>
      </c>
      <c r="BW81" s="60" t="s">
        <v>183</v>
      </c>
      <c r="BX81" s="60">
        <f>BQ64</f>
        <v>0</v>
      </c>
    </row>
    <row r="82" spans="1:76" s="97" customFormat="1" ht="15.45" customHeight="1" x14ac:dyDescent="0.3">
      <c r="B82" s="286">
        <v>17</v>
      </c>
      <c r="C82" s="164" t="str">
        <f t="shared" si="13"/>
        <v/>
      </c>
      <c r="D82" s="238" t="str">
        <f t="shared" si="14"/>
        <v/>
      </c>
      <c r="E82" s="208" t="str">
        <f t="shared" si="15"/>
        <v/>
      </c>
      <c r="F82" s="733"/>
      <c r="G82" s="734"/>
      <c r="H82" s="205" t="str">
        <f t="shared" si="16"/>
        <v/>
      </c>
      <c r="I82" s="331" t="str">
        <f t="shared" si="17"/>
        <v/>
      </c>
      <c r="J82" s="925" t="str">
        <f>IF(F82="","",VLOOKUP(F82,'10. Condition and Temporal'!$B$6:$F$103,5,FALSE))</f>
        <v/>
      </c>
      <c r="K82" s="926"/>
      <c r="L82" s="25" t="str">
        <f t="shared" si="18"/>
        <v/>
      </c>
      <c r="M82" s="927" t="str">
        <f t="shared" si="19"/>
        <v/>
      </c>
      <c r="N82" s="928"/>
      <c r="O82" s="133"/>
      <c r="P82" s="85"/>
      <c r="R82" s="649"/>
      <c r="T82" s="218" t="str">
        <f t="shared" si="20"/>
        <v/>
      </c>
      <c r="U82" s="159" t="str">
        <f t="shared" si="21"/>
        <v/>
      </c>
      <c r="V82" s="160" t="str">
        <f t="shared" si="22"/>
        <v/>
      </c>
      <c r="W82" s="158" t="str">
        <f t="shared" si="22"/>
        <v/>
      </c>
      <c r="X82" s="61" t="str">
        <f t="shared" si="22"/>
        <v/>
      </c>
      <c r="Y82" s="350"/>
      <c r="Z82" s="350"/>
      <c r="AA82" s="350"/>
      <c r="AB82" s="148" t="str">
        <f t="shared" si="23"/>
        <v/>
      </c>
      <c r="AC82" s="162" t="str">
        <f t="shared" si="24"/>
        <v/>
      </c>
      <c r="AD82" s="160" t="str">
        <f t="shared" si="25"/>
        <v/>
      </c>
      <c r="AE82" s="220" t="str">
        <f t="shared" si="26"/>
        <v/>
      </c>
      <c r="AF82" s="158" t="str">
        <f t="shared" si="27"/>
        <v/>
      </c>
      <c r="AG82" s="159" t="str">
        <f>IF(D82="","",VLOOKUP(F82,'9. All Habitats + Multipliers'!$C$4:$K$102,5,FALSE))</f>
        <v/>
      </c>
      <c r="AH82" s="160" t="str">
        <f>IF(AG82="","",VLOOKUP(AG82,'11. Lists'!$B$47:$D$49,2,FALSE))</f>
        <v/>
      </c>
      <c r="AI82" s="159" t="str">
        <f t="shared" si="28"/>
        <v/>
      </c>
      <c r="AJ82" s="471" t="str">
        <f>IF(AI82="","",VLOOKUP(AI82,'11. Lists'!$F$47:$G$51,2,FALSE))</f>
        <v/>
      </c>
      <c r="AK82" s="472"/>
      <c r="AL82" s="472"/>
      <c r="AM82" s="472"/>
      <c r="AN82" s="471" t="str">
        <f t="shared" si="29"/>
        <v/>
      </c>
      <c r="AO82" s="161" t="str">
        <f>IF(AN82="","",VLOOKUP(AN82,'11. Lists'!$F$36:$H$38,2,FALSE))</f>
        <v/>
      </c>
      <c r="AP82" s="160" t="str">
        <f>IF(AN82="","",VLOOKUP(AN82,'11. Lists'!$F$36:$H$38,3,FALSE))</f>
        <v/>
      </c>
      <c r="AQ82" s="159" t="str">
        <f>IF(D82="","",IF(AX82="Distinctiveness","N/A",VLOOKUP(F82,'10. Condition and Temporal'!$B$6:$L$103,11,FALSE)))</f>
        <v/>
      </c>
      <c r="AR82" s="163" t="str">
        <f>IF(AQ82="","",IF(AQ82="N/A","1",VLOOKUP(AQ82,'11. Lists'!$I$47:$K$80,3,FALSE)))</f>
        <v/>
      </c>
      <c r="AS82" s="178" t="str">
        <f>IF(D82="","",IF(AX82="Condition","N/A",VLOOKUP(F82,'10. Condition and Temporal'!$B$6:$M$106,12,FALSE)))</f>
        <v/>
      </c>
      <c r="AT82" s="163" t="str">
        <f>IF(AS82="","",IF(AS82="N/A","1",VLOOKUP(AS82,'11. Lists'!$I$47:$K$80,3,FALSE)))</f>
        <v/>
      </c>
      <c r="AU82" s="162" t="str">
        <f>IF(D82="","",VLOOKUP(F82,'9. All Habitats + Multipliers'!$C$4:$K$102,8,FALSE))</f>
        <v/>
      </c>
      <c r="AV82" s="160" t="str">
        <f>IF(AU82="","",VLOOKUP(AU82,'11. Lists'!$J$35:$K$38,2,FALSE))</f>
        <v/>
      </c>
      <c r="AW82" s="159" t="str">
        <f>IF(D82="","",VLOOKUP(D82,'10. Condition and Temporal'!$B$6:$M$103,4,FALSE))</f>
        <v/>
      </c>
      <c r="AX82" s="456" t="str">
        <f t="shared" si="30"/>
        <v/>
      </c>
      <c r="AY82" s="476" t="str">
        <v>1</v>
      </c>
      <c r="AZ82" s="473" t="str">
        <v>1</v>
      </c>
      <c r="BA82" s="61">
        <v>17</v>
      </c>
      <c r="BB82" s="60" t="str">
        <f t="shared" si="31"/>
        <v/>
      </c>
      <c r="BC82" s="60" t="str">
        <f t="shared" si="32"/>
        <v/>
      </c>
      <c r="BD82" s="60" t="str">
        <f t="shared" si="33"/>
        <v/>
      </c>
      <c r="BE82" s="60" t="str">
        <f t="shared" si="34"/>
        <v/>
      </c>
      <c r="BF82" s="60" t="str">
        <f t="shared" si="35"/>
        <v/>
      </c>
      <c r="BG82" s="60" t="str">
        <f t="shared" si="36"/>
        <v/>
      </c>
      <c r="BH82" s="60" t="str">
        <f t="shared" si="37"/>
        <v/>
      </c>
      <c r="BI82" s="60" t="str">
        <f t="shared" si="38"/>
        <v/>
      </c>
      <c r="BJ82" s="60" t="str">
        <f t="shared" si="39"/>
        <v/>
      </c>
      <c r="BK82" s="60" t="str">
        <f t="shared" si="40"/>
        <v/>
      </c>
      <c r="BL82" s="60" t="str">
        <f t="shared" si="41"/>
        <v/>
      </c>
      <c r="BM82" s="60" t="str">
        <f t="shared" si="42"/>
        <v/>
      </c>
      <c r="BN82" s="60" t="str">
        <f t="shared" si="43"/>
        <v/>
      </c>
      <c r="BO82" s="60" t="str">
        <f t="shared" si="44"/>
        <v/>
      </c>
      <c r="BP82" s="60" t="str">
        <f t="shared" si="45"/>
        <v/>
      </c>
      <c r="BQ82" s="60" t="str">
        <f t="shared" si="46"/>
        <v/>
      </c>
      <c r="BR82" s="60" t="str">
        <f t="shared" si="47"/>
        <v/>
      </c>
      <c r="BS82" s="60" t="str">
        <f t="shared" si="48"/>
        <v/>
      </c>
      <c r="BT82" s="60" t="str">
        <f t="shared" si="49"/>
        <v/>
      </c>
      <c r="BU82" s="148" t="str">
        <f t="shared" si="50"/>
        <v/>
      </c>
      <c r="BV82" s="225" t="str">
        <f t="shared" si="51"/>
        <v/>
      </c>
      <c r="BW82" s="60" t="s">
        <v>184</v>
      </c>
      <c r="BX82" s="60">
        <f>BR64</f>
        <v>0</v>
      </c>
    </row>
    <row r="83" spans="1:76" s="97" customFormat="1" ht="15.75" customHeight="1" x14ac:dyDescent="0.3">
      <c r="B83" s="286">
        <v>18</v>
      </c>
      <c r="C83" s="164" t="str">
        <f t="shared" si="13"/>
        <v/>
      </c>
      <c r="D83" s="238" t="str">
        <f t="shared" si="14"/>
        <v/>
      </c>
      <c r="E83" s="208" t="str">
        <f t="shared" si="15"/>
        <v/>
      </c>
      <c r="F83" s="733"/>
      <c r="G83" s="734"/>
      <c r="H83" s="205" t="str">
        <f t="shared" si="16"/>
        <v/>
      </c>
      <c r="I83" s="331" t="str">
        <f t="shared" si="17"/>
        <v/>
      </c>
      <c r="J83" s="925" t="str">
        <f>IF(F83="","",VLOOKUP(F83,'10. Condition and Temporal'!$B$6:$F$103,5,FALSE))</f>
        <v/>
      </c>
      <c r="K83" s="926"/>
      <c r="L83" s="25" t="str">
        <f t="shared" si="18"/>
        <v/>
      </c>
      <c r="M83" s="927" t="str">
        <f t="shared" si="19"/>
        <v/>
      </c>
      <c r="N83" s="928"/>
      <c r="O83" s="133"/>
      <c r="P83" s="85"/>
      <c r="R83" s="649"/>
      <c r="T83" s="218" t="str">
        <f t="shared" si="20"/>
        <v/>
      </c>
      <c r="U83" s="159" t="str">
        <f t="shared" si="21"/>
        <v/>
      </c>
      <c r="V83" s="160" t="str">
        <f t="shared" si="22"/>
        <v/>
      </c>
      <c r="W83" s="158" t="str">
        <f t="shared" si="22"/>
        <v/>
      </c>
      <c r="X83" s="61" t="str">
        <f t="shared" si="22"/>
        <v/>
      </c>
      <c r="Y83" s="350"/>
      <c r="Z83" s="350"/>
      <c r="AA83" s="350"/>
      <c r="AB83" s="148" t="str">
        <f t="shared" si="23"/>
        <v/>
      </c>
      <c r="AC83" s="162" t="str">
        <f t="shared" si="24"/>
        <v/>
      </c>
      <c r="AD83" s="160" t="str">
        <f t="shared" si="25"/>
        <v/>
      </c>
      <c r="AE83" s="220" t="str">
        <f t="shared" si="26"/>
        <v/>
      </c>
      <c r="AF83" s="158" t="str">
        <f t="shared" si="27"/>
        <v/>
      </c>
      <c r="AG83" s="159" t="str">
        <f>IF(D83="","",VLOOKUP(F83,'9. All Habitats + Multipliers'!$C$4:$K$102,5,FALSE))</f>
        <v/>
      </c>
      <c r="AH83" s="160" t="str">
        <f>IF(AG83="","",VLOOKUP(AG83,'11. Lists'!$B$47:$D$49,2,FALSE))</f>
        <v/>
      </c>
      <c r="AI83" s="159" t="str">
        <f t="shared" si="28"/>
        <v/>
      </c>
      <c r="AJ83" s="471" t="str">
        <f>IF(AI83="","",VLOOKUP(AI83,'11. Lists'!$F$47:$G$51,2,FALSE))</f>
        <v/>
      </c>
      <c r="AK83" s="472"/>
      <c r="AL83" s="472"/>
      <c r="AM83" s="472"/>
      <c r="AN83" s="471" t="str">
        <f t="shared" si="29"/>
        <v/>
      </c>
      <c r="AO83" s="161" t="str">
        <f>IF(AN83="","",VLOOKUP(AN83,'11. Lists'!$F$36:$H$38,2,FALSE))</f>
        <v/>
      </c>
      <c r="AP83" s="160" t="str">
        <f>IF(AN83="","",VLOOKUP(AN83,'11. Lists'!$F$36:$H$38,3,FALSE))</f>
        <v/>
      </c>
      <c r="AQ83" s="159" t="str">
        <f>IF(D83="","",IF(AX83="Distinctiveness","N/A",VLOOKUP(F83,'10. Condition and Temporal'!$B$6:$L$103,11,FALSE)))</f>
        <v/>
      </c>
      <c r="AR83" s="163" t="str">
        <f>IF(AQ83="","",IF(AQ83="N/A","1",VLOOKUP(AQ83,'11. Lists'!$I$47:$K$80,3,FALSE)))</f>
        <v/>
      </c>
      <c r="AS83" s="178" t="str">
        <f>IF(D83="","",IF(AX83="Condition","N/A",VLOOKUP(F83,'10. Condition and Temporal'!$B$6:$M$106,12,FALSE)))</f>
        <v/>
      </c>
      <c r="AT83" s="163" t="str">
        <f>IF(AS83="","",IF(AS83="N/A","1",VLOOKUP(AS83,'11. Lists'!$I$47:$K$80,3,FALSE)))</f>
        <v/>
      </c>
      <c r="AU83" s="162" t="str">
        <f>IF(D83="","",VLOOKUP(F83,'9. All Habitats + Multipliers'!$C$4:$K$102,8,FALSE))</f>
        <v/>
      </c>
      <c r="AV83" s="160" t="str">
        <f>IF(AU83="","",VLOOKUP(AU83,'11. Lists'!$J$35:$K$38,2,FALSE))</f>
        <v/>
      </c>
      <c r="AW83" s="159" t="str">
        <f>IF(D83="","",VLOOKUP(D83,'10. Condition and Temporal'!$B$6:$M$103,4,FALSE))</f>
        <v/>
      </c>
      <c r="AX83" s="456" t="str">
        <f t="shared" si="30"/>
        <v/>
      </c>
      <c r="AY83" s="476" t="str">
        <v>1</v>
      </c>
      <c r="AZ83" s="473" t="str">
        <v>1</v>
      </c>
      <c r="BA83" s="61">
        <v>18</v>
      </c>
      <c r="BB83" s="60" t="str">
        <f t="shared" si="31"/>
        <v/>
      </c>
      <c r="BC83" s="60" t="str">
        <f t="shared" si="32"/>
        <v/>
      </c>
      <c r="BD83" s="60" t="str">
        <f t="shared" si="33"/>
        <v/>
      </c>
      <c r="BE83" s="60" t="str">
        <f t="shared" si="34"/>
        <v/>
      </c>
      <c r="BF83" s="60" t="str">
        <f t="shared" si="35"/>
        <v/>
      </c>
      <c r="BG83" s="60" t="str">
        <f t="shared" si="36"/>
        <v/>
      </c>
      <c r="BH83" s="60" t="str">
        <f t="shared" si="37"/>
        <v/>
      </c>
      <c r="BI83" s="60" t="str">
        <f t="shared" si="38"/>
        <v/>
      </c>
      <c r="BJ83" s="60" t="str">
        <f t="shared" si="39"/>
        <v/>
      </c>
      <c r="BK83" s="60" t="str">
        <f t="shared" si="40"/>
        <v/>
      </c>
      <c r="BL83" s="60" t="str">
        <f t="shared" si="41"/>
        <v/>
      </c>
      <c r="BM83" s="60" t="str">
        <f t="shared" si="42"/>
        <v/>
      </c>
      <c r="BN83" s="60" t="str">
        <f t="shared" si="43"/>
        <v/>
      </c>
      <c r="BO83" s="60" t="str">
        <f t="shared" si="44"/>
        <v/>
      </c>
      <c r="BP83" s="60" t="str">
        <f t="shared" si="45"/>
        <v/>
      </c>
      <c r="BQ83" s="60" t="str">
        <f t="shared" si="46"/>
        <v/>
      </c>
      <c r="BR83" s="60" t="str">
        <f t="shared" si="47"/>
        <v/>
      </c>
      <c r="BS83" s="60" t="str">
        <f t="shared" si="48"/>
        <v/>
      </c>
      <c r="BT83" s="60" t="str">
        <f t="shared" si="49"/>
        <v/>
      </c>
      <c r="BU83" s="148" t="str">
        <f t="shared" si="50"/>
        <v/>
      </c>
      <c r="BV83" s="225" t="str">
        <f t="shared" si="51"/>
        <v/>
      </c>
      <c r="BW83" s="60" t="s">
        <v>185</v>
      </c>
      <c r="BX83" s="60">
        <f>BS64</f>
        <v>0</v>
      </c>
    </row>
    <row r="84" spans="1:76" s="97" customFormat="1" ht="15.75" customHeight="1" x14ac:dyDescent="0.3">
      <c r="B84" s="286">
        <v>19</v>
      </c>
      <c r="C84" s="164" t="str">
        <f t="shared" si="13"/>
        <v/>
      </c>
      <c r="D84" s="238" t="str">
        <f t="shared" si="14"/>
        <v/>
      </c>
      <c r="E84" s="208" t="str">
        <f t="shared" si="15"/>
        <v/>
      </c>
      <c r="F84" s="733"/>
      <c r="G84" s="734"/>
      <c r="H84" s="205" t="str">
        <f t="shared" si="16"/>
        <v/>
      </c>
      <c r="I84" s="331" t="str">
        <f t="shared" si="17"/>
        <v/>
      </c>
      <c r="J84" s="925" t="str">
        <f>IF(F84="","",VLOOKUP(F84,'10. Condition and Temporal'!$B$6:$F$103,5,FALSE))</f>
        <v/>
      </c>
      <c r="K84" s="926"/>
      <c r="L84" s="25" t="str">
        <f t="shared" si="18"/>
        <v/>
      </c>
      <c r="M84" s="927" t="str">
        <f t="shared" si="19"/>
        <v/>
      </c>
      <c r="N84" s="928"/>
      <c r="O84" s="133"/>
      <c r="P84" s="85"/>
      <c r="R84" s="649"/>
      <c r="T84" s="218" t="str">
        <f t="shared" si="20"/>
        <v/>
      </c>
      <c r="U84" s="159" t="str">
        <f t="shared" si="21"/>
        <v/>
      </c>
      <c r="V84" s="160" t="str">
        <f t="shared" si="22"/>
        <v/>
      </c>
      <c r="W84" s="158" t="str">
        <f t="shared" si="22"/>
        <v/>
      </c>
      <c r="X84" s="61" t="str">
        <f t="shared" si="22"/>
        <v/>
      </c>
      <c r="Y84" s="350"/>
      <c r="Z84" s="350"/>
      <c r="AA84" s="350"/>
      <c r="AB84" s="148" t="str">
        <f t="shared" si="23"/>
        <v/>
      </c>
      <c r="AC84" s="162" t="str">
        <f t="shared" si="24"/>
        <v/>
      </c>
      <c r="AD84" s="160" t="str">
        <f t="shared" si="25"/>
        <v/>
      </c>
      <c r="AE84" s="220" t="str">
        <f t="shared" si="26"/>
        <v/>
      </c>
      <c r="AF84" s="158" t="str">
        <f t="shared" si="27"/>
        <v/>
      </c>
      <c r="AG84" s="159" t="str">
        <f>IF(D84="","",VLOOKUP(F84,'9. All Habitats + Multipliers'!$C$4:$K$102,5,FALSE))</f>
        <v/>
      </c>
      <c r="AH84" s="160" t="str">
        <f>IF(AG84="","",VLOOKUP(AG84,'11. Lists'!$B$47:$D$49,2,FALSE))</f>
        <v/>
      </c>
      <c r="AI84" s="159" t="str">
        <f t="shared" si="28"/>
        <v/>
      </c>
      <c r="AJ84" s="471" t="str">
        <f>IF(AI84="","",VLOOKUP(AI84,'11. Lists'!$F$47:$G$51,2,FALSE))</f>
        <v/>
      </c>
      <c r="AK84" s="472"/>
      <c r="AL84" s="472"/>
      <c r="AM84" s="472"/>
      <c r="AN84" s="471" t="str">
        <f t="shared" si="29"/>
        <v/>
      </c>
      <c r="AO84" s="161" t="str">
        <f>IF(AN84="","",VLOOKUP(AN84,'11. Lists'!$F$36:$H$38,2,FALSE))</f>
        <v/>
      </c>
      <c r="AP84" s="160" t="str">
        <f>IF(AN84="","",VLOOKUP(AN84,'11. Lists'!$F$36:$H$38,3,FALSE))</f>
        <v/>
      </c>
      <c r="AQ84" s="159" t="str">
        <f>IF(D84="","",IF(AX84="Distinctiveness","N/A",VLOOKUP(F84,'10. Condition and Temporal'!$B$6:$L$103,11,FALSE)))</f>
        <v/>
      </c>
      <c r="AR84" s="163" t="str">
        <f>IF(AQ84="","",IF(AQ84="N/A","1",VLOOKUP(AQ84,'11. Lists'!$I$47:$K$80,3,FALSE)))</f>
        <v/>
      </c>
      <c r="AS84" s="178" t="str">
        <f>IF(D84="","",IF(AX84="Condition","N/A",VLOOKUP(F84,'10. Condition and Temporal'!$B$6:$M$106,12,FALSE)))</f>
        <v/>
      </c>
      <c r="AT84" s="163" t="str">
        <f>IF(AS84="","",IF(AS84="N/A","1",VLOOKUP(AS84,'11. Lists'!$I$47:$K$80,3,FALSE)))</f>
        <v/>
      </c>
      <c r="AU84" s="162" t="str">
        <f>IF(D84="","",VLOOKUP(F84,'9. All Habitats + Multipliers'!$C$4:$K$102,8,FALSE))</f>
        <v/>
      </c>
      <c r="AV84" s="160" t="str">
        <f>IF(AU84="","",VLOOKUP(AU84,'11. Lists'!$J$35:$K$38,2,FALSE))</f>
        <v/>
      </c>
      <c r="AW84" s="159" t="str">
        <f>IF(D84="","",VLOOKUP(D84,'10. Condition and Temporal'!$B$6:$M$103,4,FALSE))</f>
        <v/>
      </c>
      <c r="AX84" s="456" t="str">
        <f t="shared" si="30"/>
        <v/>
      </c>
      <c r="AY84" s="476" t="str">
        <v>1</v>
      </c>
      <c r="AZ84" s="473" t="str">
        <v>1</v>
      </c>
      <c r="BA84" s="61">
        <v>19</v>
      </c>
      <c r="BB84" s="60" t="str">
        <f t="shared" si="31"/>
        <v/>
      </c>
      <c r="BC84" s="60" t="str">
        <f t="shared" si="32"/>
        <v/>
      </c>
      <c r="BD84" s="60" t="str">
        <f t="shared" si="33"/>
        <v/>
      </c>
      <c r="BE84" s="60" t="str">
        <f t="shared" si="34"/>
        <v/>
      </c>
      <c r="BF84" s="60" t="str">
        <f t="shared" si="35"/>
        <v/>
      </c>
      <c r="BG84" s="60" t="str">
        <f t="shared" si="36"/>
        <v/>
      </c>
      <c r="BH84" s="60" t="str">
        <f t="shared" si="37"/>
        <v/>
      </c>
      <c r="BI84" s="60" t="str">
        <f t="shared" si="38"/>
        <v/>
      </c>
      <c r="BJ84" s="60" t="str">
        <f t="shared" si="39"/>
        <v/>
      </c>
      <c r="BK84" s="60" t="str">
        <f t="shared" si="40"/>
        <v/>
      </c>
      <c r="BL84" s="60" t="str">
        <f t="shared" si="41"/>
        <v/>
      </c>
      <c r="BM84" s="60" t="str">
        <f t="shared" si="42"/>
        <v/>
      </c>
      <c r="BN84" s="60" t="str">
        <f t="shared" si="43"/>
        <v/>
      </c>
      <c r="BO84" s="60" t="str">
        <f t="shared" si="44"/>
        <v/>
      </c>
      <c r="BP84" s="60" t="str">
        <f t="shared" si="45"/>
        <v/>
      </c>
      <c r="BQ84" s="60" t="str">
        <f t="shared" si="46"/>
        <v/>
      </c>
      <c r="BR84" s="60" t="str">
        <f t="shared" si="47"/>
        <v/>
      </c>
      <c r="BS84" s="60" t="str">
        <f t="shared" si="48"/>
        <v/>
      </c>
      <c r="BT84" s="60" t="str">
        <f t="shared" si="49"/>
        <v/>
      </c>
      <c r="BU84" s="148" t="str">
        <f t="shared" si="50"/>
        <v/>
      </c>
      <c r="BV84" s="225" t="str">
        <f t="shared" si="51"/>
        <v/>
      </c>
      <c r="BW84" s="60" t="s">
        <v>186</v>
      </c>
      <c r="BX84" s="60">
        <f>BT64</f>
        <v>0</v>
      </c>
    </row>
    <row r="85" spans="1:76" s="97" customFormat="1" ht="16.2" customHeight="1" x14ac:dyDescent="0.3">
      <c r="B85" s="287">
        <v>20</v>
      </c>
      <c r="C85" s="182" t="str">
        <f t="shared" si="13"/>
        <v/>
      </c>
      <c r="D85" s="418" t="str">
        <f t="shared" si="14"/>
        <v/>
      </c>
      <c r="E85" s="209" t="str">
        <f t="shared" si="15"/>
        <v/>
      </c>
      <c r="F85" s="739"/>
      <c r="G85" s="740"/>
      <c r="H85" s="206" t="str">
        <f t="shared" si="16"/>
        <v/>
      </c>
      <c r="I85" s="422" t="str">
        <f t="shared" si="17"/>
        <v/>
      </c>
      <c r="J85" s="929" t="str">
        <f>IF(F85="","",VLOOKUP(F85,'10. Condition and Temporal'!$B$6:$F$103,5,FALSE))</f>
        <v/>
      </c>
      <c r="K85" s="930"/>
      <c r="L85" s="20" t="str">
        <f t="shared" si="18"/>
        <v/>
      </c>
      <c r="M85" s="931" t="str">
        <f t="shared" si="19"/>
        <v/>
      </c>
      <c r="N85" s="932"/>
      <c r="O85" s="134"/>
      <c r="P85" s="87"/>
      <c r="R85" s="649"/>
      <c r="T85" s="218" t="str">
        <f t="shared" si="20"/>
        <v/>
      </c>
      <c r="U85" s="159" t="str">
        <f t="shared" si="21"/>
        <v/>
      </c>
      <c r="V85" s="160" t="str">
        <f t="shared" si="22"/>
        <v/>
      </c>
      <c r="W85" s="158" t="str">
        <f t="shared" si="22"/>
        <v/>
      </c>
      <c r="X85" s="57" t="str">
        <f t="shared" si="22"/>
        <v/>
      </c>
      <c r="Y85" s="365"/>
      <c r="Z85" s="365"/>
      <c r="AA85" s="365"/>
      <c r="AB85" s="151" t="str">
        <f t="shared" si="23"/>
        <v/>
      </c>
      <c r="AC85" s="162" t="str">
        <f t="shared" si="24"/>
        <v/>
      </c>
      <c r="AD85" s="160" t="str">
        <f t="shared" si="25"/>
        <v/>
      </c>
      <c r="AE85" s="220" t="str">
        <f t="shared" si="26"/>
        <v/>
      </c>
      <c r="AF85" s="158" t="str">
        <f t="shared" si="27"/>
        <v/>
      </c>
      <c r="AG85" s="159" t="str">
        <f>IF(D85="","",VLOOKUP(F85,'9. All Habitats + Multipliers'!$C$4:$K$102,5,FALSE))</f>
        <v/>
      </c>
      <c r="AH85" s="160" t="str">
        <f>IF(AG85="","",VLOOKUP(AG85,'11. Lists'!$B$47:$D$49,2,FALSE))</f>
        <v/>
      </c>
      <c r="AI85" s="159" t="str">
        <f t="shared" si="28"/>
        <v/>
      </c>
      <c r="AJ85" s="471" t="str">
        <f>IF(AI85="","",VLOOKUP(AI85,'11. Lists'!$F$47:$G$51,2,FALSE))</f>
        <v/>
      </c>
      <c r="AK85" s="472"/>
      <c r="AL85" s="472"/>
      <c r="AM85" s="472"/>
      <c r="AN85" s="471" t="str">
        <f t="shared" si="29"/>
        <v/>
      </c>
      <c r="AO85" s="161" t="str">
        <f>IF(AN85="","",VLOOKUP(AN85,'11. Lists'!$F$36:$H$38,2,FALSE))</f>
        <v/>
      </c>
      <c r="AP85" s="160" t="str">
        <f>IF(AN85="","",VLOOKUP(AN85,'11. Lists'!$F$36:$H$38,3,FALSE))</f>
        <v/>
      </c>
      <c r="AQ85" s="159" t="str">
        <f>IF(D85="","",IF(AX85="Distinctiveness","N/A",VLOOKUP(F85,'10. Condition and Temporal'!$B$6:$L$103,11,FALSE)))</f>
        <v/>
      </c>
      <c r="AR85" s="163" t="str">
        <f>IF(AQ85="","",IF(AQ85="N/A","1",VLOOKUP(AQ85,'11. Lists'!$I$47:$K$80,3,FALSE)))</f>
        <v/>
      </c>
      <c r="AS85" s="178" t="str">
        <f>IF(D85="","",IF(AX85="Condition","N/A",VLOOKUP(F85,'10. Condition and Temporal'!$B$6:$M$106,12,FALSE)))</f>
        <v/>
      </c>
      <c r="AT85" s="163" t="str">
        <f>IF(AS85="","",IF(AS85="N/A","1",VLOOKUP(AS85,'11. Lists'!$I$47:$K$80,3,FALSE)))</f>
        <v/>
      </c>
      <c r="AU85" s="162" t="str">
        <f>IF(D85="","",VLOOKUP(F85,'9. All Habitats + Multipliers'!$C$4:$K$102,8,FALSE))</f>
        <v/>
      </c>
      <c r="AV85" s="160" t="str">
        <f>IF(AU85="","",VLOOKUP(AU85,'11. Lists'!$J$35:$K$38,2,FALSE))</f>
        <v/>
      </c>
      <c r="AW85" s="159" t="str">
        <f>IF(D85="","",VLOOKUP(D85,'10. Condition and Temporal'!$B$6:$M$103,4,FALSE))</f>
        <v/>
      </c>
      <c r="AX85" s="456" t="str">
        <f t="shared" si="30"/>
        <v/>
      </c>
      <c r="AY85" s="477" t="str">
        <v>1</v>
      </c>
      <c r="AZ85" s="473" t="str">
        <v>1</v>
      </c>
      <c r="BA85" s="57">
        <v>20</v>
      </c>
      <c r="BB85" s="60" t="str">
        <f t="shared" si="31"/>
        <v/>
      </c>
      <c r="BC85" s="60" t="str">
        <f t="shared" si="32"/>
        <v/>
      </c>
      <c r="BD85" s="60" t="str">
        <f t="shared" si="33"/>
        <v/>
      </c>
      <c r="BE85" s="60" t="str">
        <f t="shared" si="34"/>
        <v/>
      </c>
      <c r="BF85" s="60" t="str">
        <f t="shared" si="35"/>
        <v/>
      </c>
      <c r="BG85" s="60" t="str">
        <f t="shared" si="36"/>
        <v/>
      </c>
      <c r="BH85" s="60" t="str">
        <f t="shared" si="37"/>
        <v/>
      </c>
      <c r="BI85" s="60" t="str">
        <f t="shared" si="38"/>
        <v/>
      </c>
      <c r="BJ85" s="60" t="str">
        <f t="shared" si="39"/>
        <v/>
      </c>
      <c r="BK85" s="60" t="str">
        <f t="shared" si="40"/>
        <v/>
      </c>
      <c r="BL85" s="60" t="str">
        <f t="shared" si="41"/>
        <v/>
      </c>
      <c r="BM85" s="60" t="str">
        <f t="shared" si="42"/>
        <v/>
      </c>
      <c r="BN85" s="60" t="str">
        <f t="shared" si="43"/>
        <v/>
      </c>
      <c r="BO85" s="60" t="str">
        <f t="shared" si="44"/>
        <v/>
      </c>
      <c r="BP85" s="60" t="str">
        <f t="shared" si="45"/>
        <v/>
      </c>
      <c r="BQ85" s="60" t="str">
        <f t="shared" si="46"/>
        <v/>
      </c>
      <c r="BR85" s="60" t="str">
        <f t="shared" si="47"/>
        <v/>
      </c>
      <c r="BS85" s="60" t="str">
        <f t="shared" si="48"/>
        <v/>
      </c>
      <c r="BT85" s="60" t="str">
        <f t="shared" si="49"/>
        <v/>
      </c>
      <c r="BU85" s="148" t="str">
        <f t="shared" si="50"/>
        <v/>
      </c>
      <c r="BV85" s="225" t="str">
        <f t="shared" si="51"/>
        <v/>
      </c>
      <c r="BW85" s="60" t="s">
        <v>187</v>
      </c>
      <c r="BX85" s="60">
        <f>BU64</f>
        <v>0</v>
      </c>
    </row>
    <row r="86" spans="1:76" s="97" customFormat="1" ht="15" customHeight="1" x14ac:dyDescent="0.3">
      <c r="H86" s="290" t="s">
        <v>238</v>
      </c>
      <c r="I86" s="336">
        <f>SUM(I66:I85)</f>
        <v>0</v>
      </c>
      <c r="J86" s="412"/>
      <c r="L86" s="420">
        <f>SUM(L66:L85)</f>
        <v>0</v>
      </c>
      <c r="M86" s="743">
        <f>SUM(M66:N85)</f>
        <v>0</v>
      </c>
      <c r="N86" s="744"/>
      <c r="R86" s="649"/>
      <c r="AJ86" s="200"/>
      <c r="AK86" s="200"/>
      <c r="AL86" s="200"/>
      <c r="AM86" s="200"/>
      <c r="AN86" s="200"/>
    </row>
    <row r="87" spans="1:76" s="97" customFormat="1" x14ac:dyDescent="0.3">
      <c r="C87" s="98"/>
      <c r="R87" s="649"/>
      <c r="AJ87" s="200"/>
      <c r="AK87" s="200"/>
      <c r="AL87" s="200"/>
      <c r="AM87" s="200"/>
      <c r="AN87" s="200"/>
    </row>
    <row r="88" spans="1:76" s="97" customFormat="1" x14ac:dyDescent="0.3">
      <c r="R88" s="649"/>
      <c r="AJ88" s="200"/>
      <c r="AK88" s="200"/>
      <c r="AL88" s="200"/>
      <c r="AM88" s="200"/>
      <c r="AN88" s="200"/>
    </row>
    <row r="89" spans="1:76" s="97" customFormat="1" ht="19.2" customHeight="1" x14ac:dyDescent="0.3">
      <c r="R89" s="649"/>
      <c r="AJ89" s="200"/>
      <c r="AK89" s="200"/>
      <c r="AL89" s="200"/>
      <c r="AM89" s="200"/>
      <c r="AN89" s="200"/>
    </row>
    <row r="90" spans="1:76" s="97" customFormat="1" x14ac:dyDescent="0.3">
      <c r="R90" s="649"/>
      <c r="AJ90" s="200"/>
      <c r="AK90" s="200"/>
      <c r="AL90" s="200"/>
      <c r="AM90" s="200"/>
      <c r="AN90" s="200"/>
    </row>
    <row r="91" spans="1:76" s="97" customFormat="1" x14ac:dyDescent="0.3">
      <c r="A91" s="683" t="s">
        <v>202</v>
      </c>
      <c r="B91" s="683"/>
      <c r="C91" s="683"/>
      <c r="D91" s="683"/>
      <c r="E91" s="683"/>
      <c r="F91" s="683"/>
      <c r="G91" s="683"/>
      <c r="H91" s="683"/>
      <c r="I91" s="683"/>
      <c r="J91" s="683"/>
      <c r="K91" s="683"/>
      <c r="L91" s="683"/>
      <c r="M91" s="683"/>
      <c r="N91" s="683"/>
      <c r="O91" s="683"/>
      <c r="P91" s="683"/>
      <c r="Q91" s="683"/>
      <c r="R91" s="649"/>
      <c r="AJ91" s="200"/>
      <c r="AK91" s="200"/>
      <c r="AL91" s="200"/>
      <c r="AM91" s="200"/>
      <c r="AN91" s="200"/>
    </row>
    <row r="92" spans="1:76" s="97" customFormat="1" x14ac:dyDescent="0.3">
      <c r="A92" s="683"/>
      <c r="B92" s="683"/>
      <c r="C92" s="683"/>
      <c r="D92" s="683"/>
      <c r="E92" s="683"/>
      <c r="F92" s="683"/>
      <c r="G92" s="683"/>
      <c r="H92" s="683"/>
      <c r="I92" s="683"/>
      <c r="J92" s="683"/>
      <c r="K92" s="683"/>
      <c r="L92" s="683"/>
      <c r="M92" s="683"/>
      <c r="N92" s="683"/>
      <c r="O92" s="683"/>
      <c r="P92" s="683"/>
      <c r="Q92" s="683"/>
      <c r="R92" s="649"/>
      <c r="AJ92" s="200"/>
      <c r="AK92" s="200"/>
      <c r="AL92" s="200"/>
      <c r="AM92" s="200"/>
      <c r="AN92" s="200"/>
    </row>
    <row r="93" spans="1:76" s="97" customFormat="1" x14ac:dyDescent="0.3">
      <c r="A93" s="683"/>
      <c r="B93" s="683"/>
      <c r="C93" s="683"/>
      <c r="D93" s="683"/>
      <c r="E93" s="683"/>
      <c r="F93" s="683"/>
      <c r="G93" s="683"/>
      <c r="H93" s="683"/>
      <c r="I93" s="683"/>
      <c r="J93" s="683"/>
      <c r="K93" s="683"/>
      <c r="L93" s="683"/>
      <c r="M93" s="683"/>
      <c r="N93" s="683"/>
      <c r="O93" s="683"/>
      <c r="P93" s="683"/>
      <c r="Q93" s="683"/>
      <c r="R93" s="649"/>
      <c r="AJ93" s="200"/>
      <c r="AK93" s="200"/>
      <c r="AL93" s="200"/>
      <c r="AM93" s="200"/>
      <c r="AN93" s="200"/>
    </row>
    <row r="94" spans="1:76" s="97" customFormat="1" x14ac:dyDescent="0.3">
      <c r="R94" s="649"/>
      <c r="AJ94" s="200"/>
      <c r="AK94" s="200"/>
      <c r="AL94" s="200"/>
      <c r="AM94" s="200"/>
      <c r="AN94" s="200"/>
    </row>
    <row r="95" spans="1:76" s="97" customFormat="1" ht="21" customHeight="1" x14ac:dyDescent="0.4">
      <c r="C95" s="119" t="s">
        <v>203</v>
      </c>
      <c r="D95" s="98"/>
      <c r="E95" s="98"/>
      <c r="F95" s="98"/>
      <c r="G95" s="98"/>
      <c r="R95" s="649"/>
      <c r="AJ95" s="200"/>
      <c r="AK95" s="200"/>
      <c r="AL95" s="200"/>
      <c r="AM95" s="200"/>
      <c r="AN95" s="200"/>
    </row>
    <row r="96" spans="1:76" s="97" customFormat="1" ht="15" customHeight="1" x14ac:dyDescent="0.3">
      <c r="R96" s="649"/>
      <c r="AJ96" s="200"/>
      <c r="AK96" s="200"/>
      <c r="AL96" s="200"/>
      <c r="AM96" s="200"/>
      <c r="AN96" s="200"/>
    </row>
    <row r="97" spans="3:40" s="97" customFormat="1" ht="36.75" customHeight="1" x14ac:dyDescent="0.3">
      <c r="C97" s="866" t="s">
        <v>243</v>
      </c>
      <c r="D97" s="868"/>
      <c r="E97" s="869" t="str" cm="1">
        <f t="array" aca="1" ref="E97" ca="1">IF(OR(I103:I106="No ▲"),"Error - Trading Rules Not Satisfied ▲","Trading Rules Satisfied ✓")</f>
        <v>Trading Rules Satisfied ✓</v>
      </c>
      <c r="F97" s="869"/>
      <c r="G97" s="869"/>
      <c r="H97" s="869"/>
      <c r="I97" s="870"/>
      <c r="J97" s="200">
        <f ca="1">IFERROR(FIND("Error",E97),0)</f>
        <v>0</v>
      </c>
      <c r="R97" s="649"/>
      <c r="AJ97" s="200"/>
      <c r="AK97" s="200"/>
      <c r="AL97" s="200"/>
      <c r="AM97" s="200"/>
      <c r="AN97" s="200"/>
    </row>
    <row r="98" spans="3:40" s="97" customFormat="1" x14ac:dyDescent="0.3">
      <c r="R98" s="649"/>
      <c r="AJ98" s="200"/>
      <c r="AK98" s="200"/>
      <c r="AL98" s="200"/>
      <c r="AM98" s="200"/>
      <c r="AN98" s="200"/>
    </row>
    <row r="99" spans="3:40" s="97" customFormat="1" ht="21" customHeight="1" x14ac:dyDescent="0.4">
      <c r="C99" s="119" t="s">
        <v>206</v>
      </c>
      <c r="R99" s="649"/>
      <c r="AJ99" s="200"/>
      <c r="AK99" s="200"/>
      <c r="AL99" s="200"/>
      <c r="AM99" s="200"/>
      <c r="AN99" s="200"/>
    </row>
    <row r="100" spans="3:40" s="97" customFormat="1" x14ac:dyDescent="0.3">
      <c r="R100" s="649"/>
      <c r="AJ100" s="200"/>
      <c r="AK100" s="200"/>
      <c r="AL100" s="200"/>
      <c r="AM100" s="200"/>
      <c r="AN100" s="200"/>
    </row>
    <row r="101" spans="3:40" s="97" customFormat="1" ht="15" customHeight="1" x14ac:dyDescent="0.3">
      <c r="J101" s="428"/>
      <c r="R101" s="649"/>
      <c r="AJ101" s="200"/>
      <c r="AK101" s="200"/>
      <c r="AL101" s="200"/>
      <c r="AM101" s="200"/>
      <c r="AN101" s="200"/>
    </row>
    <row r="102" spans="3:40" s="97" customFormat="1" ht="40.5" customHeight="1" x14ac:dyDescent="0.3">
      <c r="C102" s="448" t="s">
        <v>144</v>
      </c>
      <c r="D102" s="438" t="s">
        <v>96</v>
      </c>
      <c r="E102" s="438" t="s">
        <v>269</v>
      </c>
      <c r="F102" s="438" t="s">
        <v>209</v>
      </c>
      <c r="G102" s="438" t="s">
        <v>210</v>
      </c>
      <c r="H102" s="438" t="s">
        <v>211</v>
      </c>
      <c r="I102" s="439" t="s">
        <v>212</v>
      </c>
      <c r="J102" s="429"/>
      <c r="R102" s="649"/>
      <c r="AJ102" s="200"/>
      <c r="AK102" s="200"/>
      <c r="AL102" s="200"/>
      <c r="AM102" s="200"/>
      <c r="AN102" s="200"/>
    </row>
    <row r="103" spans="3:40" s="97" customFormat="1" ht="30" customHeight="1" x14ac:dyDescent="0.3">
      <c r="C103" s="921" t="s">
        <v>263</v>
      </c>
      <c r="D103" s="857" t="s">
        <v>226</v>
      </c>
      <c r="E103" s="440" t="s">
        <v>270</v>
      </c>
      <c r="F103" s="441">
        <f ca="1">SUMIF($D$11:$E$30, $E$103, $L$11:$L$30)</f>
        <v>0</v>
      </c>
      <c r="G103" s="441">
        <f>IF($I$59+$I$86+$P$1=0,0,SUMIF($D$39:$D$58,$E$103,$L$39:$N$58)+SUMIF($F$66:$G$85,$E$103,$L$66:$L$85)+SUMIF($D$11:$E$30,$E$103,$AE$11:$AE$30))</f>
        <v>0</v>
      </c>
      <c r="H103" s="441">
        <f ca="1">$G$103-$F$103</f>
        <v>0</v>
      </c>
      <c r="I103" s="854" t="str">
        <f ca="1">IF(AND($H$103&gt;=0, H104&gt;=0),"Yes ✓", "No ▲")</f>
        <v>Yes ✓</v>
      </c>
      <c r="J103" s="429"/>
      <c r="R103" s="649"/>
      <c r="AJ103" s="200"/>
      <c r="AK103" s="200"/>
      <c r="AL103" s="200"/>
      <c r="AM103" s="200"/>
      <c r="AN103" s="200"/>
    </row>
    <row r="104" spans="3:40" s="97" customFormat="1" ht="30" customHeight="1" x14ac:dyDescent="0.3">
      <c r="C104" s="922"/>
      <c r="D104" s="858"/>
      <c r="E104" s="426" t="s">
        <v>271</v>
      </c>
      <c r="F104" s="427">
        <f ca="1">SUMIF($D$11:$E$30,$E$104,$L$11:$L$30)</f>
        <v>0</v>
      </c>
      <c r="G104" s="427">
        <f>IF($I$59+$I$86+$P$1=0,0,SUMIF($D$39:$D$58,$E$104,$L$39:$N$58)+SUMIF($F$66:$G$85,$E$104,$L$66:$L$85)+SUMIF($D$11:$E$30,$E$104,$AE$11:$AE$30))</f>
        <v>0</v>
      </c>
      <c r="H104" s="427">
        <f ca="1">$G$104-$F$104</f>
        <v>0</v>
      </c>
      <c r="I104" s="855"/>
      <c r="J104" s="429"/>
      <c r="R104" s="649"/>
      <c r="AJ104" s="200"/>
      <c r="AK104" s="200"/>
      <c r="AL104" s="200"/>
      <c r="AM104" s="200"/>
      <c r="AN104" s="200"/>
    </row>
    <row r="105" spans="3:40" s="97" customFormat="1" ht="30" customHeight="1" x14ac:dyDescent="0.3">
      <c r="C105" s="922"/>
      <c r="D105" s="860"/>
      <c r="E105" s="442" t="s">
        <v>249</v>
      </c>
      <c r="F105" s="443">
        <f ca="1">SUM(F103:F104)</f>
        <v>0</v>
      </c>
      <c r="G105" s="443">
        <f>SUM(G103:G104)</f>
        <v>0</v>
      </c>
      <c r="H105" s="443">
        <f ca="1">SUM($H$103:$H$104)</f>
        <v>0</v>
      </c>
      <c r="I105" s="856"/>
      <c r="J105" s="200">
        <f ca="1">IF($I$103= "No ▲",1,0)</f>
        <v>0</v>
      </c>
      <c r="R105" s="649"/>
      <c r="AJ105" s="200"/>
      <c r="AK105" s="200"/>
      <c r="AL105" s="200"/>
      <c r="AM105" s="200"/>
      <c r="AN105" s="200"/>
    </row>
    <row r="106" spans="3:40" s="97" customFormat="1" ht="30" customHeight="1" x14ac:dyDescent="0.3">
      <c r="C106" s="923"/>
      <c r="D106" s="444" t="s">
        <v>227</v>
      </c>
      <c r="E106" s="445" t="s">
        <v>272</v>
      </c>
      <c r="F106" s="446">
        <f ca="1">SUMIF($D$11:$E$30,$E$106,$L$11:$L$30)</f>
        <v>0</v>
      </c>
      <c r="G106" s="446">
        <f>IF($I$59+$I$86+$P$1=0,0,SUMIF($D$39:$D$58,$E$106,$L$39:$N$58)+SUMIF($F$66:$G$85,$E$106,$L$66:$L$85)+SUMIF($D$11:$E$30,$E$106,$AE$11:$AE$30))</f>
        <v>0</v>
      </c>
      <c r="H106" s="446">
        <f ca="1">$G$106-$F$106</f>
        <v>0</v>
      </c>
      <c r="I106" s="447" t="str">
        <f ca="1">IF($G$107&gt;=0,"Yes ✓", "No ▲")</f>
        <v>Yes ✓</v>
      </c>
      <c r="J106" s="200">
        <f ca="1">IF($I$106= "No ▲",1,0)</f>
        <v>0</v>
      </c>
      <c r="R106" s="649"/>
      <c r="AJ106" s="200"/>
      <c r="AK106" s="200"/>
      <c r="AL106" s="200"/>
      <c r="AM106" s="200"/>
      <c r="AN106" s="200"/>
    </row>
    <row r="107" spans="3:40" s="97" customFormat="1" ht="12" customHeight="1" x14ac:dyDescent="0.3">
      <c r="G107" s="432">
        <f ca="1">IF(H105&gt;0,($H$105+$H$106),H106)</f>
        <v>0</v>
      </c>
      <c r="J107" s="428"/>
      <c r="R107" s="649"/>
      <c r="AJ107" s="200"/>
      <c r="AK107" s="200"/>
      <c r="AL107" s="200"/>
      <c r="AM107" s="200"/>
      <c r="AN107" s="200"/>
    </row>
    <row r="108" spans="3:40" s="97" customFormat="1" ht="18" customHeight="1" x14ac:dyDescent="0.35">
      <c r="C108" s="827" t="s">
        <v>273</v>
      </c>
      <c r="D108" s="924"/>
      <c r="E108" s="924"/>
      <c r="F108" s="924"/>
      <c r="G108" s="435">
        <f ca="1">$H$105</f>
        <v>0</v>
      </c>
      <c r="H108" s="429"/>
      <c r="J108" s="428"/>
      <c r="R108" s="649"/>
      <c r="AJ108" s="200"/>
      <c r="AK108" s="200"/>
      <c r="AL108" s="200"/>
      <c r="AM108" s="200"/>
      <c r="AN108" s="200"/>
    </row>
    <row r="109" spans="3:40" s="97" customFormat="1" ht="18.45" customHeight="1" x14ac:dyDescent="0.3">
      <c r="C109" s="860" t="s">
        <v>274</v>
      </c>
      <c r="D109" s="630"/>
      <c r="E109" s="630"/>
      <c r="F109" s="630"/>
      <c r="G109" s="436">
        <f ca="1">IF($H$105&lt;=0,$H$106,($H$106+$H$105))</f>
        <v>0</v>
      </c>
      <c r="R109" s="649"/>
      <c r="AJ109" s="200"/>
      <c r="AK109" s="200"/>
      <c r="AL109" s="200"/>
      <c r="AM109" s="200"/>
      <c r="AN109" s="200"/>
    </row>
    <row r="110" spans="3:40" s="97" customFormat="1" x14ac:dyDescent="0.3">
      <c r="R110" s="649"/>
      <c r="AJ110" s="200"/>
      <c r="AK110" s="200"/>
      <c r="AL110" s="200"/>
      <c r="AM110" s="200"/>
      <c r="AN110" s="200"/>
    </row>
    <row r="111" spans="3:40" s="97" customFormat="1" x14ac:dyDescent="0.3">
      <c r="R111" s="649"/>
      <c r="AJ111" s="200"/>
      <c r="AK111" s="200"/>
      <c r="AL111" s="200"/>
      <c r="AM111" s="200"/>
      <c r="AN111" s="200"/>
    </row>
    <row r="112" spans="3:40" s="97" customFormat="1" x14ac:dyDescent="0.3">
      <c r="R112" s="649"/>
      <c r="AJ112" s="200"/>
      <c r="AK112" s="200"/>
      <c r="AL112" s="200"/>
      <c r="AM112" s="200"/>
      <c r="AN112" s="200"/>
    </row>
    <row r="113" spans="18:40" s="97" customFormat="1" x14ac:dyDescent="0.3">
      <c r="R113" s="649"/>
      <c r="AJ113" s="200"/>
      <c r="AK113" s="200"/>
      <c r="AL113" s="200"/>
      <c r="AM113" s="200"/>
      <c r="AN113" s="200"/>
    </row>
    <row r="114" spans="18:40" s="97" customFormat="1" x14ac:dyDescent="0.3">
      <c r="R114" s="649"/>
      <c r="AJ114" s="200"/>
      <c r="AK114" s="200"/>
      <c r="AL114" s="200"/>
      <c r="AM114" s="200"/>
      <c r="AN114" s="200"/>
    </row>
    <row r="115" spans="18:40" s="97" customFormat="1" x14ac:dyDescent="0.3">
      <c r="R115" s="649"/>
      <c r="AJ115" s="200"/>
      <c r="AK115" s="200"/>
      <c r="AL115" s="200"/>
      <c r="AM115" s="200"/>
      <c r="AN115" s="200"/>
    </row>
    <row r="116" spans="18:40" s="97" customFormat="1" x14ac:dyDescent="0.3">
      <c r="R116" s="649"/>
      <c r="AJ116" s="200"/>
      <c r="AK116" s="200"/>
      <c r="AL116" s="200"/>
      <c r="AM116" s="200"/>
      <c r="AN116" s="200"/>
    </row>
    <row r="117" spans="18:40" s="97" customFormat="1" x14ac:dyDescent="0.3">
      <c r="R117" s="649"/>
      <c r="AJ117" s="200"/>
      <c r="AK117" s="200"/>
      <c r="AL117" s="200"/>
      <c r="AM117" s="200"/>
      <c r="AN117" s="200"/>
    </row>
    <row r="118" spans="18:40" s="97" customFormat="1" x14ac:dyDescent="0.3">
      <c r="R118" s="649"/>
      <c r="AJ118" s="200"/>
      <c r="AK118" s="200"/>
      <c r="AL118" s="200"/>
      <c r="AM118" s="200"/>
      <c r="AN118" s="200"/>
    </row>
    <row r="119" spans="18:40" s="97" customFormat="1" x14ac:dyDescent="0.3">
      <c r="R119" s="649"/>
      <c r="AJ119" s="200"/>
      <c r="AK119" s="200"/>
      <c r="AL119" s="200"/>
      <c r="AM119" s="200"/>
      <c r="AN119" s="200"/>
    </row>
    <row r="120" spans="18:40" s="97" customFormat="1" x14ac:dyDescent="0.3">
      <c r="R120" s="649"/>
      <c r="AJ120" s="200"/>
      <c r="AK120" s="200"/>
      <c r="AL120" s="200"/>
      <c r="AM120" s="200"/>
      <c r="AN120" s="200"/>
    </row>
    <row r="121" spans="18:40" s="97" customFormat="1" x14ac:dyDescent="0.3">
      <c r="R121" s="649"/>
      <c r="AJ121" s="200"/>
      <c r="AK121" s="200"/>
      <c r="AL121" s="200"/>
      <c r="AM121" s="200"/>
      <c r="AN121" s="200"/>
    </row>
    <row r="122" spans="18:40" s="97" customFormat="1" x14ac:dyDescent="0.3">
      <c r="R122" s="649"/>
      <c r="AJ122" s="200"/>
      <c r="AK122" s="200"/>
      <c r="AL122" s="200"/>
      <c r="AM122" s="200"/>
      <c r="AN122" s="200"/>
    </row>
    <row r="123" spans="18:40" s="97" customFormat="1" x14ac:dyDescent="0.3">
      <c r="R123" s="649"/>
      <c r="AJ123" s="200"/>
      <c r="AK123" s="200"/>
      <c r="AL123" s="200"/>
      <c r="AM123" s="200"/>
      <c r="AN123" s="200"/>
    </row>
    <row r="124" spans="18:40" s="97" customFormat="1" x14ac:dyDescent="0.3">
      <c r="R124" s="649"/>
      <c r="AJ124" s="200"/>
      <c r="AK124" s="200"/>
      <c r="AL124" s="200"/>
      <c r="AM124" s="200"/>
      <c r="AN124" s="200"/>
    </row>
    <row r="125" spans="18:40" s="97" customFormat="1" x14ac:dyDescent="0.3">
      <c r="R125" s="649"/>
      <c r="AJ125" s="200"/>
      <c r="AK125" s="200"/>
      <c r="AL125" s="200"/>
      <c r="AM125" s="200"/>
      <c r="AN125" s="200"/>
    </row>
    <row r="126" spans="18:40" s="97" customFormat="1" x14ac:dyDescent="0.3">
      <c r="R126" s="649"/>
      <c r="AJ126" s="200"/>
      <c r="AK126" s="200"/>
      <c r="AL126" s="200"/>
      <c r="AM126" s="200"/>
      <c r="AN126" s="200"/>
    </row>
    <row r="127" spans="18:40" s="97" customFormat="1" x14ac:dyDescent="0.3">
      <c r="R127" s="649"/>
      <c r="AJ127" s="200"/>
      <c r="AK127" s="200"/>
      <c r="AL127" s="200"/>
      <c r="AM127" s="200"/>
      <c r="AN127" s="200"/>
    </row>
    <row r="128" spans="18:40" s="97" customFormat="1" x14ac:dyDescent="0.3">
      <c r="R128" s="649"/>
      <c r="AJ128" s="200"/>
      <c r="AK128" s="200"/>
      <c r="AL128" s="200"/>
      <c r="AM128" s="200"/>
      <c r="AN128" s="200"/>
    </row>
    <row r="129" spans="18:40" s="97" customFormat="1" x14ac:dyDescent="0.3">
      <c r="R129" s="649"/>
      <c r="AJ129" s="200"/>
      <c r="AK129" s="200"/>
      <c r="AL129" s="200"/>
      <c r="AM129" s="200"/>
      <c r="AN129" s="200"/>
    </row>
    <row r="130" spans="18:40" s="97" customFormat="1" x14ac:dyDescent="0.3">
      <c r="R130" s="649"/>
      <c r="AJ130" s="200"/>
      <c r="AK130" s="200"/>
      <c r="AL130" s="200"/>
      <c r="AM130" s="200"/>
      <c r="AN130" s="200"/>
    </row>
  </sheetData>
  <sheetProtection algorithmName="SHA-512" hashValue="1JoYOSV7sLaVIDae8VjKdYOA77BzY7XVw1XSFHdYYBO610uF5GmLvl0/Od66d+IGXGX9IIgGcvh7ayGppNVJwQ==" saltValue="1nRNyw+wehPhDY/5tOUpPQ==" spinCount="100000" sheet="1" formatRows="0"/>
  <mergeCells count="272">
    <mergeCell ref="B9:B10"/>
    <mergeCell ref="C9:E9"/>
    <mergeCell ref="F9:H10"/>
    <mergeCell ref="I9:K9"/>
    <mergeCell ref="L9:N9"/>
    <mergeCell ref="O9:P9"/>
    <mergeCell ref="D11:E11"/>
    <mergeCell ref="F11:H11"/>
    <mergeCell ref="D15:E15"/>
    <mergeCell ref="F15:H15"/>
    <mergeCell ref="T9:V9"/>
    <mergeCell ref="W9:X9"/>
    <mergeCell ref="Y9:AA9"/>
    <mergeCell ref="AB9:AD9"/>
    <mergeCell ref="AE9:AG9"/>
    <mergeCell ref="AH9:AH10"/>
    <mergeCell ref="AI9:AI10"/>
    <mergeCell ref="AJ9:AJ10"/>
    <mergeCell ref="D10:E10"/>
    <mergeCell ref="T10:U10"/>
    <mergeCell ref="R1:R31"/>
    <mergeCell ref="C2:D2"/>
    <mergeCell ref="F2:H6"/>
    <mergeCell ref="J2:M5"/>
    <mergeCell ref="C3:D3"/>
    <mergeCell ref="D19:E19"/>
    <mergeCell ref="F19:H19"/>
    <mergeCell ref="D23:E23"/>
    <mergeCell ref="F23:H23"/>
    <mergeCell ref="D27:E27"/>
    <mergeCell ref="F27:H27"/>
    <mergeCell ref="T11:U11"/>
    <mergeCell ref="D12:E12"/>
    <mergeCell ref="F12:H12"/>
    <mergeCell ref="T12:U12"/>
    <mergeCell ref="D13:E13"/>
    <mergeCell ref="F13:H13"/>
    <mergeCell ref="T13:U13"/>
    <mergeCell ref="D14:E14"/>
    <mergeCell ref="F14:H14"/>
    <mergeCell ref="T14:U14"/>
    <mergeCell ref="T15:U15"/>
    <mergeCell ref="D16:E16"/>
    <mergeCell ref="F16:H16"/>
    <mergeCell ref="T16:U16"/>
    <mergeCell ref="D17:E17"/>
    <mergeCell ref="F17:H17"/>
    <mergeCell ref="T17:U17"/>
    <mergeCell ref="D18:E18"/>
    <mergeCell ref="F18:H18"/>
    <mergeCell ref="T18:U18"/>
    <mergeCell ref="T19:U19"/>
    <mergeCell ref="D20:E20"/>
    <mergeCell ref="F20:H20"/>
    <mergeCell ref="T20:U20"/>
    <mergeCell ref="D21:E21"/>
    <mergeCell ref="F21:H21"/>
    <mergeCell ref="T21:U21"/>
    <mergeCell ref="D22:E22"/>
    <mergeCell ref="F22:H22"/>
    <mergeCell ref="T22:U22"/>
    <mergeCell ref="T23:U23"/>
    <mergeCell ref="D24:E24"/>
    <mergeCell ref="F24:H24"/>
    <mergeCell ref="T24:U24"/>
    <mergeCell ref="D25:E25"/>
    <mergeCell ref="F25:H25"/>
    <mergeCell ref="T25:U25"/>
    <mergeCell ref="D26:E26"/>
    <mergeCell ref="F26:H26"/>
    <mergeCell ref="T26:U26"/>
    <mergeCell ref="T27:U27"/>
    <mergeCell ref="D28:E28"/>
    <mergeCell ref="F28:H28"/>
    <mergeCell ref="T28:U28"/>
    <mergeCell ref="D29:E29"/>
    <mergeCell ref="F29:H29"/>
    <mergeCell ref="T29:U29"/>
    <mergeCell ref="D30:E30"/>
    <mergeCell ref="F30:H30"/>
    <mergeCell ref="T30:U30"/>
    <mergeCell ref="I32:N32"/>
    <mergeCell ref="I33:N33"/>
    <mergeCell ref="R34:R62"/>
    <mergeCell ref="F42:G42"/>
    <mergeCell ref="I42:K42"/>
    <mergeCell ref="L42:N42"/>
    <mergeCell ref="F45:G45"/>
    <mergeCell ref="I45:K45"/>
    <mergeCell ref="L45:N45"/>
    <mergeCell ref="F48:G48"/>
    <mergeCell ref="I48:K48"/>
    <mergeCell ref="L48:N48"/>
    <mergeCell ref="F51:G51"/>
    <mergeCell ref="I51:K51"/>
    <mergeCell ref="T37:V37"/>
    <mergeCell ref="F40:G40"/>
    <mergeCell ref="I40:K40"/>
    <mergeCell ref="L40:N40"/>
    <mergeCell ref="B37:B38"/>
    <mergeCell ref="C37:D37"/>
    <mergeCell ref="E37:G37"/>
    <mergeCell ref="H37:H38"/>
    <mergeCell ref="I37:K38"/>
    <mergeCell ref="L37:N38"/>
    <mergeCell ref="O37:P37"/>
    <mergeCell ref="F39:G39"/>
    <mergeCell ref="I39:K39"/>
    <mergeCell ref="L39:N39"/>
    <mergeCell ref="W37:X37"/>
    <mergeCell ref="Y37:AA37"/>
    <mergeCell ref="AB37:AD37"/>
    <mergeCell ref="AE37:AF37"/>
    <mergeCell ref="AG37:AH37"/>
    <mergeCell ref="AI37:AI38"/>
    <mergeCell ref="F38:G38"/>
    <mergeCell ref="T38:U38"/>
    <mergeCell ref="T39:U39"/>
    <mergeCell ref="T40:U40"/>
    <mergeCell ref="F41:G41"/>
    <mergeCell ref="I41:K41"/>
    <mergeCell ref="L41:N41"/>
    <mergeCell ref="T41:U41"/>
    <mergeCell ref="T42:U42"/>
    <mergeCell ref="F43:G43"/>
    <mergeCell ref="I43:K43"/>
    <mergeCell ref="L43:N43"/>
    <mergeCell ref="T43:U43"/>
    <mergeCell ref="F44:G44"/>
    <mergeCell ref="I44:K44"/>
    <mergeCell ref="L44:N44"/>
    <mergeCell ref="T44:U44"/>
    <mergeCell ref="T45:U45"/>
    <mergeCell ref="F46:G46"/>
    <mergeCell ref="I46:K46"/>
    <mergeCell ref="L46:N46"/>
    <mergeCell ref="T46:U46"/>
    <mergeCell ref="F47:G47"/>
    <mergeCell ref="I47:K47"/>
    <mergeCell ref="L47:N47"/>
    <mergeCell ref="T47:U47"/>
    <mergeCell ref="T48:U48"/>
    <mergeCell ref="F49:G49"/>
    <mergeCell ref="I49:K49"/>
    <mergeCell ref="L49:N49"/>
    <mergeCell ref="T49:U49"/>
    <mergeCell ref="F50:G50"/>
    <mergeCell ref="I50:K50"/>
    <mergeCell ref="L50:N50"/>
    <mergeCell ref="T50:U50"/>
    <mergeCell ref="L51:N51"/>
    <mergeCell ref="T51:U51"/>
    <mergeCell ref="F52:G52"/>
    <mergeCell ref="I52:K52"/>
    <mergeCell ref="L52:N52"/>
    <mergeCell ref="T52:U52"/>
    <mergeCell ref="F53:G53"/>
    <mergeCell ref="I53:K53"/>
    <mergeCell ref="L53:N53"/>
    <mergeCell ref="T53:U53"/>
    <mergeCell ref="F54:G54"/>
    <mergeCell ref="I54:K54"/>
    <mergeCell ref="L54:N54"/>
    <mergeCell ref="T54:U54"/>
    <mergeCell ref="F55:G55"/>
    <mergeCell ref="I55:K55"/>
    <mergeCell ref="L55:N55"/>
    <mergeCell ref="T55:U55"/>
    <mergeCell ref="F56:G56"/>
    <mergeCell ref="I56:K56"/>
    <mergeCell ref="L56:N56"/>
    <mergeCell ref="T56:U56"/>
    <mergeCell ref="F57:G57"/>
    <mergeCell ref="I57:K57"/>
    <mergeCell ref="L57:N57"/>
    <mergeCell ref="T57:U57"/>
    <mergeCell ref="F58:G58"/>
    <mergeCell ref="I58:K58"/>
    <mergeCell ref="L58:N58"/>
    <mergeCell ref="T58:U58"/>
    <mergeCell ref="I59:K59"/>
    <mergeCell ref="L59:N59"/>
    <mergeCell ref="A63:A65"/>
    <mergeCell ref="R63:R88"/>
    <mergeCell ref="BA63:BA64"/>
    <mergeCell ref="B64:B65"/>
    <mergeCell ref="C64:D64"/>
    <mergeCell ref="E64:G64"/>
    <mergeCell ref="H64:H65"/>
    <mergeCell ref="I64:I65"/>
    <mergeCell ref="J64:K65"/>
    <mergeCell ref="L64:L65"/>
    <mergeCell ref="M64:N65"/>
    <mergeCell ref="O64:P64"/>
    <mergeCell ref="T64:AD64"/>
    <mergeCell ref="AE64:AE65"/>
    <mergeCell ref="AF64:AP64"/>
    <mergeCell ref="AQ64:AQ65"/>
    <mergeCell ref="AR64:AV64"/>
    <mergeCell ref="F65:G65"/>
    <mergeCell ref="F66:G66"/>
    <mergeCell ref="J66:K66"/>
    <mergeCell ref="M66:N66"/>
    <mergeCell ref="F67:G67"/>
    <mergeCell ref="J67:K67"/>
    <mergeCell ref="M67:N67"/>
    <mergeCell ref="F68:G68"/>
    <mergeCell ref="J68:K68"/>
    <mergeCell ref="M68:N68"/>
    <mergeCell ref="F69:G69"/>
    <mergeCell ref="J69:K69"/>
    <mergeCell ref="M69:N69"/>
    <mergeCell ref="F70:G70"/>
    <mergeCell ref="J70:K70"/>
    <mergeCell ref="M70:N70"/>
    <mergeCell ref="F71:G71"/>
    <mergeCell ref="J71:K71"/>
    <mergeCell ref="M71:N71"/>
    <mergeCell ref="F72:G72"/>
    <mergeCell ref="J72:K72"/>
    <mergeCell ref="M72:N72"/>
    <mergeCell ref="F73:G73"/>
    <mergeCell ref="J73:K73"/>
    <mergeCell ref="M73:N73"/>
    <mergeCell ref="F74:G74"/>
    <mergeCell ref="J74:K74"/>
    <mergeCell ref="M74:N74"/>
    <mergeCell ref="F75:G75"/>
    <mergeCell ref="J75:K75"/>
    <mergeCell ref="M75:N75"/>
    <mergeCell ref="F76:G76"/>
    <mergeCell ref="J76:K76"/>
    <mergeCell ref="M76:N76"/>
    <mergeCell ref="F77:G77"/>
    <mergeCell ref="J77:K77"/>
    <mergeCell ref="M77:N77"/>
    <mergeCell ref="F78:G78"/>
    <mergeCell ref="J78:K78"/>
    <mergeCell ref="M78:N78"/>
    <mergeCell ref="F79:G79"/>
    <mergeCell ref="J79:K79"/>
    <mergeCell ref="M79:N79"/>
    <mergeCell ref="F80:G80"/>
    <mergeCell ref="J80:K80"/>
    <mergeCell ref="M80:N80"/>
    <mergeCell ref="F81:G81"/>
    <mergeCell ref="J81:K81"/>
    <mergeCell ref="M81:N81"/>
    <mergeCell ref="F82:G82"/>
    <mergeCell ref="J82:K82"/>
    <mergeCell ref="M82:N82"/>
    <mergeCell ref="F83:G83"/>
    <mergeCell ref="J83:K83"/>
    <mergeCell ref="M83:N83"/>
    <mergeCell ref="F84:G84"/>
    <mergeCell ref="J84:K84"/>
    <mergeCell ref="M84:N84"/>
    <mergeCell ref="F85:G85"/>
    <mergeCell ref="J85:K85"/>
    <mergeCell ref="M85:N85"/>
    <mergeCell ref="M86:N86"/>
    <mergeCell ref="R89:R97"/>
    <mergeCell ref="A91:Q93"/>
    <mergeCell ref="C97:D97"/>
    <mergeCell ref="E97:I97"/>
    <mergeCell ref="R98:R100"/>
    <mergeCell ref="R101:R130"/>
    <mergeCell ref="C103:C106"/>
    <mergeCell ref="D103:D105"/>
    <mergeCell ref="I103:I105"/>
    <mergeCell ref="C108:F108"/>
    <mergeCell ref="C109:F109"/>
  </mergeCells>
  <conditionalFormatting sqref="E66:E85">
    <cfRule type="cellIs" dxfId="75" priority="24" operator="equal">
      <formula>"Enhancement not possible"</formula>
    </cfRule>
  </conditionalFormatting>
  <conditionalFormatting sqref="E97">
    <cfRule type="containsText" dxfId="74" priority="39" operator="containsText" text="Error - Trading Rules Not Satisfied">
      <formula>NOT(ISERROR(SEARCH("Error - Trading Rules Not Satisfied",E97)))</formula>
    </cfRule>
    <cfRule type="containsText" dxfId="73" priority="38" operator="containsText" text="Trading Rules Satisfied">
      <formula>NOT(ISERROR(SEARCH("Trading Rules Satisfied",E97)))</formula>
    </cfRule>
  </conditionalFormatting>
  <conditionalFormatting sqref="F39:F58">
    <cfRule type="expression" dxfId="72" priority="27">
      <formula>ISNUMBER(SEARCH(F39,E39,1))</formula>
    </cfRule>
    <cfRule type="containsBlanks" dxfId="71" priority="26" stopIfTrue="1">
      <formula>LEN(TRIM(F39))=0</formula>
    </cfRule>
  </conditionalFormatting>
  <conditionalFormatting sqref="F66:G85">
    <cfRule type="expression" dxfId="70" priority="23">
      <formula>$D66=""</formula>
    </cfRule>
  </conditionalFormatting>
  <conditionalFormatting sqref="I31">
    <cfRule type="cellIs" dxfId="69" priority="40" operator="greaterThan">
      <formula>5000</formula>
    </cfRule>
  </conditionalFormatting>
  <conditionalFormatting sqref="I86">
    <cfRule type="expression" dxfId="68" priority="35">
      <formula>"p18=""Avoid"""</formula>
    </cfRule>
    <cfRule type="cellIs" dxfId="67" priority="34" operator="equal">
      <formula>"Any loss Unacceptable"</formula>
    </cfRule>
  </conditionalFormatting>
  <conditionalFormatting sqref="I103 I106">
    <cfRule type="containsText" dxfId="66" priority="1" operator="containsText" text="No">
      <formula>NOT(ISERROR(SEARCH("No",I103)))</formula>
    </cfRule>
    <cfRule type="containsText" dxfId="65" priority="2" operator="containsText" text="Yes">
      <formula>NOT(ISERROR(SEARCH("Yes",I103)))</formula>
    </cfRule>
  </conditionalFormatting>
  <conditionalFormatting sqref="I32:N32">
    <cfRule type="containsText" dxfId="64" priority="30" operator="containsText" text="acceptable">
      <formula>NOT(ISERROR(SEARCH("acceptable",I32)))</formula>
    </cfRule>
    <cfRule type="containsText" dxfId="63" priority="29" operator="containsText" text="error">
      <formula>NOT(ISERROR(SEARCH("error",I32)))</formula>
    </cfRule>
  </conditionalFormatting>
  <conditionalFormatting sqref="I33:N33">
    <cfRule type="containsText" dxfId="62" priority="4" operator="containsText" text=" ✓">
      <formula>NOT(ISERROR(SEARCH(" ✓",I33)))</formula>
    </cfRule>
  </conditionalFormatting>
  <conditionalFormatting sqref="J2 O6">
    <cfRule type="containsText" dxfId="61" priority="37" operator="containsText" text="Errors Present On Sheet">
      <formula>NOT(ISERROR(SEARCH("Errors Present On Sheet",J2)))</formula>
    </cfRule>
  </conditionalFormatting>
  <conditionalFormatting sqref="J2">
    <cfRule type="containsText" dxfId="60" priority="28" operator="containsText" text="Technical">
      <formula>NOT(ISERROR(SEARCH("Technical",J2)))</formula>
    </cfRule>
  </conditionalFormatting>
  <conditionalFormatting sqref="K11:K30">
    <cfRule type="expression" dxfId="59" priority="31">
      <formula>$AI11="Enhancement not possible"</formula>
    </cfRule>
  </conditionalFormatting>
  <conditionalFormatting sqref="L11:L30">
    <cfRule type="containsText" dxfId="58" priority="14" operator="containsText" text="▲">
      <formula>NOT(ISERROR(SEARCH("▲",L11)))</formula>
    </cfRule>
    <cfRule type="containsText" dxfId="57" priority="15" operator="containsText" text="value">
      <formula>NOT(ISERROR(SEARCH("value",L11)))</formula>
    </cfRule>
  </conditionalFormatting>
  <conditionalFormatting sqref="L86">
    <cfRule type="cellIs" dxfId="56" priority="32" operator="equal">
      <formula>"Any loss Unacceptable"</formula>
    </cfRule>
    <cfRule type="expression" dxfId="55" priority="33">
      <formula>"p18=""Avoid"""</formula>
    </cfRule>
  </conditionalFormatting>
  <conditionalFormatting sqref="L11:M30">
    <cfRule type="expression" dxfId="54" priority="22">
      <formula>"p18=""Avoid"""</formula>
    </cfRule>
    <cfRule type="cellIs" dxfId="53" priority="21" operator="equal">
      <formula>"Any loss Unacceptable"</formula>
    </cfRule>
  </conditionalFormatting>
  <conditionalFormatting sqref="L39:M58">
    <cfRule type="cellIs" dxfId="52" priority="12" operator="equal">
      <formula>"Compensation Agreed"</formula>
    </cfRule>
    <cfRule type="cellIs" dxfId="51" priority="10" operator="equal">
      <formula>"Alternative Compensation"</formula>
    </cfRule>
    <cfRule type="cellIs" dxfId="50" priority="11" operator="equal">
      <formula>"Unacceptable Loss"</formula>
    </cfRule>
  </conditionalFormatting>
  <conditionalFormatting sqref="L66:M85">
    <cfRule type="cellIs" dxfId="49" priority="6" operator="equal">
      <formula>"Unacceptable Loss"</formula>
    </cfRule>
    <cfRule type="cellIs" dxfId="48" priority="7" operator="equal">
      <formula>"Compensation Agreed"</formula>
    </cfRule>
    <cfRule type="cellIs" dxfId="47" priority="5" operator="equal">
      <formula>"Alternative Compensation"</formula>
    </cfRule>
  </conditionalFormatting>
  <conditionalFormatting sqref="L39:N58">
    <cfRule type="containsText" dxfId="46" priority="9" operator="containsText" text="value">
      <formula>NOT(ISERROR(SEARCH("value",L39)))</formula>
    </cfRule>
    <cfRule type="containsText" dxfId="45" priority="8" operator="containsText" text="▲">
      <formula>NOT(ISERROR(SEARCH("▲",L39)))</formula>
    </cfRule>
  </conditionalFormatting>
  <conditionalFormatting sqref="M11:M30">
    <cfRule type="containsText" dxfId="44" priority="17" operator="containsText" text="error">
      <formula>NOT(ISERROR(SEARCH("error",M11)))</formula>
    </cfRule>
  </conditionalFormatting>
  <conditionalFormatting sqref="N11:N30">
    <cfRule type="cellIs" dxfId="43" priority="19" operator="equal">
      <formula>"Unacceptable Loss"</formula>
    </cfRule>
    <cfRule type="cellIs" dxfId="42" priority="18" operator="equal">
      <formula>"Alternative Compensation"</formula>
    </cfRule>
    <cfRule type="containsText" dxfId="41" priority="16" operator="containsText" text="▲">
      <formula>NOT(ISERROR(SEARCH("▲",N11)))</formula>
    </cfRule>
    <cfRule type="containsText" dxfId="40" priority="13" operator="containsText" text="value">
      <formula>NOT(ISERROR(SEARCH("value",N11)))</formula>
    </cfRule>
    <cfRule type="cellIs" dxfId="39" priority="20" operator="equal">
      <formula>"Compensation Agreed"</formula>
    </cfRule>
  </conditionalFormatting>
  <conditionalFormatting sqref="P1:P5 I33:N33 L66:N85">
    <cfRule type="containsText" dxfId="38" priority="3" operator="containsText" text="▲">
      <formula>NOT(ISERROR(SEARCH("▲",P1)))</formula>
    </cfRule>
  </conditionalFormatting>
  <conditionalFormatting sqref="X11:X30">
    <cfRule type="cellIs" dxfId="37" priority="42" operator="equal">
      <formula>"Not Possible"</formula>
    </cfRule>
  </conditionalFormatting>
  <conditionalFormatting sqref="X39:X58">
    <cfRule type="cellIs" dxfId="36" priority="36" operator="equal">
      <formula>"Not Possible"</formula>
    </cfRule>
  </conditionalFormatting>
  <conditionalFormatting sqref="AG11:AG30">
    <cfRule type="cellIs" dxfId="35" priority="41" operator="equal">
      <formula>"Unacceptable Loss"</formula>
    </cfRule>
  </conditionalFormatting>
  <conditionalFormatting sqref="AJ66:AJ85">
    <cfRule type="cellIs" dxfId="34" priority="25" operator="equal">
      <formula>"Not Possible"</formula>
    </cfRule>
  </conditionalFormatting>
  <dataValidations count="2">
    <dataValidation type="list" allowBlank="1" showInputMessage="1" showErrorMessage="1" sqref="D11:E30 D39:D58" xr:uid="{00000000-0002-0000-0600-000000000000}">
      <formula1>INDIRECT(SUBSTITUTE(C11," ",""))</formula1>
    </dataValidation>
    <dataValidation type="list" allowBlank="1" showInputMessage="1" showErrorMessage="1" sqref="F66:G85" xr:uid="{00000000-0002-0000-0600-000001000000}">
      <formula1>INDIRECT(BV66)</formula1>
    </dataValidation>
  </dataValidations>
  <pageMargins left="0.7" right="0.7" top="0.75" bottom="0.75" header="0.3" footer="0.3"/>
  <pageSetup paperSize="9" orientation="portrait" r:id="rId1"/>
  <ignoredErrors>
    <ignoredError sqref="V11"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4E1F5520-5AED-461C-8F50-C8F4D010C136}">
          <x14:formula1>
            <xm:f>'11. Lists'!$F$36:$F$37</xm:f>
          </x14:formula1>
          <xm:sqref>H66:H85 F11:H30 H39:H58</xm:sqref>
        </x14:dataValidation>
        <x14:dataValidation type="list" allowBlank="1" showInputMessage="1" showErrorMessage="1" xr:uid="{3093539A-51A3-4FE7-A4D0-FB77CE23015D}">
          <x14:formula1>
            <xm:f>'11. Lists'!$F$47:$F$51</xm:f>
          </x14:formula1>
          <xm:sqref>F39:F58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B0743-8657-4010-ADC8-C713B63CD1F8}">
  <sheetPr codeName="Sheet8">
    <tabColor rgb="FFFFC000"/>
    <pageSetUpPr fitToPage="1"/>
  </sheetPr>
  <dimension ref="A1:AF74"/>
  <sheetViews>
    <sheetView topLeftCell="A4" zoomScale="80" zoomScaleNormal="80" workbookViewId="0">
      <selection activeCell="B33" sqref="B33"/>
    </sheetView>
  </sheetViews>
  <sheetFormatPr defaultColWidth="0" defaultRowHeight="15.6" zeroHeight="1" x14ac:dyDescent="0.3"/>
  <cols>
    <col min="1" max="1" width="14.109375" customWidth="1"/>
    <col min="2" max="2" width="30.44140625" customWidth="1"/>
    <col min="3" max="3" width="45.33203125" customWidth="1"/>
    <col min="4" max="4" width="76.44140625" customWidth="1"/>
    <col min="5" max="5" width="13" bestFit="1" customWidth="1"/>
    <col min="6" max="6" width="19.44140625" style="489" customWidth="1"/>
    <col min="7" max="7" width="29.109375" hidden="1" customWidth="1"/>
    <col min="8" max="9" width="10.6640625" hidden="1" customWidth="1"/>
    <col min="10" max="10" width="15" hidden="1" customWidth="1"/>
    <col min="11" max="11" width="10.33203125" hidden="1" customWidth="1"/>
    <col min="12" max="16" width="8.77734375" hidden="1" customWidth="1"/>
    <col min="17" max="17" width="11.44140625" hidden="1" customWidth="1"/>
    <col min="18" max="18" width="8.77734375" hidden="1" customWidth="1"/>
    <col min="19" max="19" width="11.109375" hidden="1" customWidth="1"/>
    <col min="20" max="24" width="8.77734375" hidden="1" customWidth="1"/>
    <col min="25" max="32" width="0" hidden="1" customWidth="1"/>
    <col min="33" max="33" width="8.77734375" hidden="1" customWidth="1"/>
    <col min="34" max="16384" width="8.77734375" hidden="1"/>
  </cols>
  <sheetData>
    <row r="1" spans="1:24" ht="16.2" customHeight="1" x14ac:dyDescent="0.3">
      <c r="A1" s="97"/>
      <c r="B1" s="97"/>
      <c r="C1" s="97"/>
      <c r="D1" s="97"/>
      <c r="E1" s="97"/>
      <c r="F1" s="484"/>
      <c r="G1" s="97"/>
      <c r="H1" s="97"/>
      <c r="I1" s="97"/>
      <c r="J1" s="97"/>
      <c r="K1" s="97"/>
      <c r="L1" s="97"/>
      <c r="M1" s="97"/>
      <c r="N1" s="97"/>
      <c r="O1" s="97"/>
      <c r="P1" s="97"/>
      <c r="Q1" s="97"/>
      <c r="R1" s="97"/>
      <c r="S1" s="97"/>
      <c r="T1" s="97"/>
      <c r="U1" s="97"/>
      <c r="V1" s="97"/>
      <c r="W1" s="97"/>
      <c r="X1" s="97"/>
    </row>
    <row r="2" spans="1:24" ht="24.75" customHeight="1" x14ac:dyDescent="0.35">
      <c r="A2" s="97"/>
      <c r="B2" s="640" t="s">
        <v>67</v>
      </c>
      <c r="C2" s="641"/>
      <c r="D2" s="628" t="str">
        <f>IF('2. Site Details'!D4="","Enter site name on 2. Site Details",'2. Site Details'!D4)</f>
        <v>4788</v>
      </c>
      <c r="E2" s="629"/>
      <c r="F2" s="491"/>
      <c r="G2" s="114"/>
      <c r="H2" s="114"/>
      <c r="I2" s="114"/>
      <c r="J2" s="114"/>
      <c r="K2" s="114"/>
      <c r="L2" s="114"/>
      <c r="M2" s="114"/>
      <c r="N2" s="114"/>
      <c r="O2" s="114"/>
      <c r="P2" s="114"/>
      <c r="Q2" s="114"/>
      <c r="R2" s="114"/>
      <c r="S2" s="114"/>
      <c r="T2" s="114"/>
      <c r="U2" s="114"/>
      <c r="V2" s="114"/>
      <c r="W2" s="114"/>
      <c r="X2" s="97"/>
    </row>
    <row r="3" spans="1:24" ht="24.75" customHeight="1" x14ac:dyDescent="0.35">
      <c r="A3" s="97"/>
      <c r="B3" s="643" t="s">
        <v>16</v>
      </c>
      <c r="C3" s="644"/>
      <c r="D3" s="630" t="s">
        <v>275</v>
      </c>
      <c r="E3" s="631"/>
      <c r="F3" s="485"/>
      <c r="G3" s="114"/>
      <c r="H3" s="1001"/>
      <c r="I3" s="1001"/>
      <c r="J3" s="1001"/>
      <c r="K3" s="1001"/>
      <c r="L3" s="1001"/>
      <c r="M3" s="1001"/>
      <c r="N3" s="1001"/>
      <c r="O3" s="1001"/>
      <c r="P3" s="114"/>
      <c r="Q3" s="114"/>
      <c r="R3" s="114"/>
      <c r="S3" s="114"/>
      <c r="T3" s="114"/>
      <c r="U3" s="114"/>
      <c r="V3" s="114"/>
      <c r="W3" s="114"/>
      <c r="X3" s="97"/>
    </row>
    <row r="4" spans="1:24" ht="34.200000000000003" customHeight="1" x14ac:dyDescent="0.3">
      <c r="A4" s="97"/>
      <c r="B4" s="118" t="s">
        <v>275</v>
      </c>
      <c r="C4" s="97"/>
      <c r="D4" s="97"/>
      <c r="E4" s="97"/>
      <c r="F4" s="485"/>
      <c r="G4" s="114"/>
      <c r="H4" s="114"/>
      <c r="I4" s="114"/>
      <c r="J4" s="114"/>
      <c r="K4" s="114"/>
      <c r="L4" s="114"/>
      <c r="M4" s="114"/>
      <c r="N4" s="114"/>
      <c r="O4" s="114"/>
      <c r="P4" s="114"/>
      <c r="Q4" s="114"/>
      <c r="R4" s="114"/>
      <c r="S4" s="114"/>
      <c r="T4" s="114"/>
      <c r="U4" s="114"/>
      <c r="V4" s="114"/>
      <c r="W4" s="114"/>
      <c r="X4" s="97"/>
    </row>
    <row r="5" spans="1:24" ht="24.75" customHeight="1" x14ac:dyDescent="0.3">
      <c r="A5" s="97"/>
      <c r="B5" s="622" t="s">
        <v>276</v>
      </c>
      <c r="C5" s="995"/>
      <c r="D5" s="996" t="str">
        <f>IF(OR(D27&gt;0,D28&gt;0,D29&gt;0),"BNG Targets Not Met ▲","BNG Targets Met ✓")</f>
        <v>BNG Targets Not Met ▲</v>
      </c>
      <c r="E5" s="870"/>
      <c r="F5" s="485"/>
      <c r="G5" s="114"/>
      <c r="H5" s="114"/>
      <c r="I5" s="114"/>
      <c r="J5" s="114"/>
      <c r="K5" s="114"/>
      <c r="L5" s="114"/>
      <c r="M5" s="114"/>
      <c r="N5" s="114"/>
      <c r="O5" s="114"/>
      <c r="P5" s="114"/>
      <c r="Q5" s="114"/>
      <c r="R5" s="114"/>
      <c r="S5" s="114"/>
      <c r="T5" s="114"/>
      <c r="U5" s="114"/>
      <c r="V5" s="114"/>
      <c r="W5" s="114"/>
      <c r="X5" s="97"/>
    </row>
    <row r="6" spans="1:24" ht="24.75" customHeight="1" x14ac:dyDescent="0.35">
      <c r="A6" s="97"/>
      <c r="B6" s="97"/>
      <c r="C6" s="97"/>
      <c r="D6" s="207"/>
      <c r="E6" s="207"/>
      <c r="F6" s="485"/>
      <c r="G6" s="114"/>
      <c r="H6" s="114"/>
      <c r="I6" s="114"/>
      <c r="J6" s="114"/>
      <c r="K6" s="114"/>
      <c r="L6" s="114"/>
      <c r="M6" s="114"/>
      <c r="N6" s="114"/>
      <c r="O6" s="114"/>
      <c r="P6" s="114"/>
      <c r="Q6" s="114"/>
      <c r="R6" s="114"/>
      <c r="S6" s="114"/>
      <c r="T6" s="114"/>
      <c r="U6" s="114"/>
      <c r="V6" s="114"/>
      <c r="W6" s="114"/>
      <c r="X6" s="97"/>
    </row>
    <row r="7" spans="1:24" ht="24.75" customHeight="1" x14ac:dyDescent="0.3">
      <c r="A7" s="97"/>
      <c r="B7" s="622" t="s">
        <v>277</v>
      </c>
      <c r="C7" s="623"/>
      <c r="D7" s="997" t="str">
        <f ca="1">IF('5. Area Habitats'!J108+'5. Area Habitats'!J109+'6. Hedges &amp; Lines of Trees'!J97+'7. Watercourses'!J97&gt;0,"Trading Rules Not Satisfied ▲","Trading Rules Satisfied ✓")</f>
        <v>Trading Rules Not Satisfied ▲</v>
      </c>
      <c r="E7" s="998"/>
      <c r="F7" s="492"/>
      <c r="G7" s="382"/>
      <c r="H7" s="383"/>
      <c r="I7" s="384"/>
      <c r="J7" s="114"/>
      <c r="K7" s="114"/>
      <c r="L7" s="114"/>
      <c r="M7" s="114"/>
      <c r="N7" s="114"/>
      <c r="O7" s="114"/>
      <c r="P7" s="114"/>
      <c r="Q7" s="114"/>
      <c r="R7" s="114"/>
      <c r="S7" s="114"/>
      <c r="T7" s="114"/>
      <c r="U7" s="114"/>
      <c r="V7" s="114"/>
      <c r="W7" s="114"/>
      <c r="X7" s="97"/>
    </row>
    <row r="8" spans="1:24" ht="24.75" customHeight="1" x14ac:dyDescent="0.35">
      <c r="A8" s="97"/>
      <c r="B8" s="97"/>
      <c r="C8" s="97"/>
      <c r="D8" s="207"/>
      <c r="E8" s="207"/>
      <c r="F8" s="492"/>
      <c r="G8" s="114"/>
      <c r="H8" s="114"/>
      <c r="I8" s="114"/>
      <c r="J8" s="114"/>
      <c r="K8" s="114"/>
      <c r="L8" s="114"/>
      <c r="M8" s="114"/>
      <c r="N8" s="114"/>
      <c r="O8" s="114"/>
      <c r="P8" s="114"/>
      <c r="Q8" s="114"/>
      <c r="R8" s="114"/>
      <c r="S8" s="114"/>
      <c r="T8" s="114"/>
      <c r="U8" s="114"/>
      <c r="V8" s="114"/>
      <c r="W8" s="114"/>
      <c r="X8" s="97"/>
    </row>
    <row r="9" spans="1:24" ht="24.75" customHeight="1" x14ac:dyDescent="0.3">
      <c r="A9" s="97"/>
      <c r="B9" s="622" t="s">
        <v>278</v>
      </c>
      <c r="C9" s="995"/>
      <c r="D9" s="999" t="str">
        <f ca="1">IF(OR(D5="BNG Targets Not Met ▲",D7="Trading Rules Not Satisfied ▲"),"Scheme alterations or offsite units required","Check for input errors/rule breaks present in the metric ⚠")</f>
        <v>Scheme alterations or offsite units required</v>
      </c>
      <c r="E9" s="1000"/>
      <c r="F9" s="485"/>
      <c r="G9" s="101"/>
      <c r="H9" s="101"/>
      <c r="I9" s="101"/>
      <c r="J9" s="101"/>
      <c r="K9" s="101"/>
      <c r="L9" s="101"/>
      <c r="M9" s="101"/>
      <c r="N9" s="101"/>
      <c r="O9" s="101"/>
      <c r="P9" s="101"/>
      <c r="Q9" s="116"/>
      <c r="R9" s="101"/>
      <c r="S9" s="114"/>
      <c r="T9" s="114"/>
      <c r="U9" s="114"/>
      <c r="V9" s="114"/>
      <c r="W9" s="114"/>
      <c r="X9" s="97"/>
    </row>
    <row r="10" spans="1:24" ht="43.5" customHeight="1" x14ac:dyDescent="0.3">
      <c r="A10" s="97"/>
      <c r="B10" s="97"/>
      <c r="C10" s="97"/>
      <c r="D10" s="989"/>
      <c r="E10" s="989"/>
      <c r="F10" s="485" t="s">
        <v>279</v>
      </c>
      <c r="G10" s="101"/>
      <c r="H10" s="101"/>
      <c r="I10" s="101"/>
      <c r="J10" s="101"/>
      <c r="K10" s="101"/>
      <c r="L10" s="101"/>
      <c r="M10" s="101"/>
      <c r="N10" s="101"/>
      <c r="O10" s="101"/>
      <c r="P10" s="101"/>
      <c r="Q10" s="116"/>
      <c r="R10" s="101"/>
      <c r="S10" s="114"/>
      <c r="T10" s="114"/>
      <c r="U10" s="114"/>
      <c r="V10" s="114"/>
      <c r="W10" s="114"/>
      <c r="X10" s="97"/>
    </row>
    <row r="11" spans="1:24" ht="24.75" customHeight="1" x14ac:dyDescent="0.3">
      <c r="A11" s="97"/>
      <c r="B11" s="990" t="s">
        <v>280</v>
      </c>
      <c r="C11" s="295" t="s">
        <v>281</v>
      </c>
      <c r="D11" s="478">
        <f>IF('5. Area Habitats'!L32=0,"Zero Units Baseline",'5. Area Habitats'!L32)</f>
        <v>2.9237599999999996E-3</v>
      </c>
      <c r="E11" s="479"/>
      <c r="F11" s="485">
        <f>('2. Site Details'!$D$13/100)*$D$11</f>
        <v>2.9237599999999995E-4</v>
      </c>
      <c r="G11" s="378"/>
      <c r="H11" s="101"/>
      <c r="I11" s="101"/>
      <c r="J11" s="101"/>
      <c r="K11" s="101"/>
      <c r="L11" s="101"/>
      <c r="M11" s="101"/>
      <c r="N11" s="101"/>
      <c r="O11" s="101"/>
      <c r="P11" s="101"/>
      <c r="Q11" s="116"/>
      <c r="R11" s="101"/>
      <c r="S11" s="114"/>
      <c r="T11" s="114"/>
      <c r="U11" s="114"/>
      <c r="V11" s="114"/>
      <c r="W11" s="114"/>
      <c r="X11" s="97"/>
    </row>
    <row r="12" spans="1:24" ht="24.75" customHeight="1" x14ac:dyDescent="0.3">
      <c r="A12" s="97"/>
      <c r="B12" s="991"/>
      <c r="C12" s="296" t="s">
        <v>282</v>
      </c>
      <c r="D12" s="480" t="str">
        <f>IF('6. Hedges &amp; Lines of Trees'!L31=0,"Zero Units Baseline",'6. Hedges &amp; Lines of Trees'!L31)</f>
        <v>Zero Units Baseline</v>
      </c>
      <c r="E12" s="481"/>
      <c r="F12" s="485" t="e">
        <f>('2. Site Details'!$D$14/100)*$D$12</f>
        <v>#VALUE!</v>
      </c>
      <c r="G12" s="379"/>
      <c r="H12" s="101"/>
      <c r="I12" s="101"/>
      <c r="J12" s="101"/>
      <c r="K12" s="101"/>
      <c r="L12" s="101"/>
      <c r="M12" s="101"/>
      <c r="N12" s="101"/>
      <c r="O12" s="101"/>
      <c r="P12" s="101"/>
      <c r="Q12" s="116"/>
      <c r="R12" s="101"/>
      <c r="S12" s="114"/>
      <c r="T12" s="114"/>
      <c r="U12" s="114"/>
      <c r="V12" s="114"/>
      <c r="W12" s="114"/>
      <c r="X12" s="97"/>
    </row>
    <row r="13" spans="1:24" ht="24.75" customHeight="1" x14ac:dyDescent="0.3">
      <c r="A13" s="97"/>
      <c r="B13" s="992"/>
      <c r="C13" s="297" t="s">
        <v>283</v>
      </c>
      <c r="D13" s="482" t="str">
        <f>IF('7. Watercourses'!L31=0,"Zero Units Baseline",'7. Watercourses'!L31)</f>
        <v>Zero Units Baseline</v>
      </c>
      <c r="E13" s="483"/>
      <c r="F13" s="485" t="e">
        <f>('2. Site Details'!$D$15/100)*$D$13</f>
        <v>#VALUE!</v>
      </c>
      <c r="G13" s="380"/>
      <c r="H13" s="101"/>
      <c r="I13" s="101"/>
      <c r="J13" s="101"/>
      <c r="K13" s="101"/>
      <c r="L13" s="101"/>
      <c r="M13" s="101"/>
      <c r="N13" s="101"/>
      <c r="O13" s="101"/>
      <c r="P13" s="101"/>
      <c r="Q13" s="116"/>
      <c r="R13" s="101"/>
      <c r="S13" s="114"/>
      <c r="T13" s="114"/>
      <c r="U13" s="114"/>
      <c r="V13" s="114"/>
      <c r="W13" s="114"/>
      <c r="X13" s="97"/>
    </row>
    <row r="14" spans="1:24" ht="24.75" customHeight="1" x14ac:dyDescent="0.35">
      <c r="A14" s="97"/>
      <c r="B14" s="97"/>
      <c r="C14" s="97"/>
      <c r="D14" s="207"/>
      <c r="E14" s="207"/>
      <c r="F14" s="485" t="s">
        <v>284</v>
      </c>
      <c r="G14" s="101"/>
      <c r="H14" s="101"/>
      <c r="I14" s="101"/>
      <c r="J14" s="101"/>
      <c r="K14" s="101"/>
      <c r="L14" s="101"/>
      <c r="M14" s="101"/>
      <c r="N14" s="101"/>
      <c r="O14" s="101"/>
      <c r="P14" s="101"/>
      <c r="Q14" s="116"/>
      <c r="R14" s="101"/>
      <c r="S14" s="114"/>
      <c r="T14" s="114"/>
      <c r="U14" s="114"/>
      <c r="V14" s="114"/>
      <c r="W14" s="114"/>
      <c r="X14" s="97"/>
    </row>
    <row r="15" spans="1:24" ht="24.75" customHeight="1" x14ac:dyDescent="0.3">
      <c r="A15" s="97"/>
      <c r="B15" s="990" t="s">
        <v>285</v>
      </c>
      <c r="C15" s="295" t="s">
        <v>281</v>
      </c>
      <c r="D15" s="478">
        <f>'5. Area Habitats'!P3+'5. Area Habitats'!P4+'5. Area Habitats'!P1</f>
        <v>0</v>
      </c>
      <c r="E15" s="479"/>
      <c r="F15" s="486">
        <f>D11+F11</f>
        <v>3.2161359999999996E-3</v>
      </c>
      <c r="G15" s="101"/>
      <c r="H15" s="101"/>
      <c r="I15" s="101"/>
      <c r="J15" s="101"/>
      <c r="K15" s="101"/>
      <c r="L15" s="101"/>
      <c r="M15" s="101"/>
      <c r="N15" s="101"/>
      <c r="O15" s="101"/>
      <c r="P15" s="101"/>
      <c r="Q15" s="116"/>
      <c r="R15" s="101"/>
      <c r="S15" s="114"/>
      <c r="T15" s="114"/>
      <c r="U15" s="114"/>
      <c r="V15" s="114"/>
      <c r="W15" s="114"/>
      <c r="X15" s="97"/>
    </row>
    <row r="16" spans="1:24" ht="24.75" customHeight="1" x14ac:dyDescent="0.3">
      <c r="A16" s="97"/>
      <c r="B16" s="991"/>
      <c r="C16" s="296" t="s">
        <v>282</v>
      </c>
      <c r="D16" s="480">
        <f>'6. Hedges &amp; Lines of Trees'!P3+'6. Hedges &amp; Lines of Trees'!P4+'6. Hedges &amp; Lines of Trees'!P1</f>
        <v>0</v>
      </c>
      <c r="E16" s="481"/>
      <c r="F16" s="486" t="e">
        <f>D12+F12</f>
        <v>#VALUE!</v>
      </c>
      <c r="G16" s="101"/>
      <c r="H16" s="101"/>
      <c r="I16" s="101"/>
      <c r="J16" s="101"/>
      <c r="K16" s="101"/>
      <c r="L16" s="101"/>
      <c r="M16" s="101"/>
      <c r="N16" s="101"/>
      <c r="O16" s="101"/>
      <c r="P16" s="101"/>
      <c r="Q16" s="116"/>
      <c r="R16" s="101"/>
      <c r="S16" s="114"/>
      <c r="T16" s="114"/>
      <c r="U16" s="114"/>
      <c r="V16" s="114"/>
      <c r="W16" s="114"/>
      <c r="X16" s="97"/>
    </row>
    <row r="17" spans="1:24" ht="24.75" customHeight="1" x14ac:dyDescent="0.3">
      <c r="A17" s="97"/>
      <c r="B17" s="992"/>
      <c r="C17" s="297" t="s">
        <v>283</v>
      </c>
      <c r="D17" s="482">
        <f>'7. Watercourses'!P3+'7. Watercourses'!P4+'7. Watercourses'!P1</f>
        <v>0</v>
      </c>
      <c r="E17" s="483"/>
      <c r="F17" s="486" t="e">
        <f>D13+F13</f>
        <v>#VALUE!</v>
      </c>
      <c r="G17" s="101"/>
      <c r="H17" s="101"/>
      <c r="I17" s="101"/>
      <c r="J17" s="101"/>
      <c r="K17" s="101"/>
      <c r="L17" s="101"/>
      <c r="M17" s="101"/>
      <c r="N17" s="101"/>
      <c r="O17" s="101"/>
      <c r="P17" s="101"/>
      <c r="Q17" s="116"/>
      <c r="R17" s="101"/>
      <c r="S17" s="114"/>
      <c r="T17" s="114"/>
      <c r="U17" s="114"/>
      <c r="V17" s="114"/>
      <c r="W17" s="114"/>
      <c r="X17" s="97"/>
    </row>
    <row r="18" spans="1:24" ht="24.75" customHeight="1" x14ac:dyDescent="0.35">
      <c r="A18" s="97"/>
      <c r="B18" s="97"/>
      <c r="C18" s="97"/>
      <c r="D18" s="207"/>
      <c r="E18" s="207"/>
      <c r="F18" s="485"/>
      <c r="G18" s="101"/>
      <c r="H18" s="101"/>
      <c r="I18" s="101"/>
      <c r="J18" s="101"/>
      <c r="K18" s="101"/>
      <c r="L18" s="101"/>
      <c r="M18" s="101"/>
      <c r="N18" s="101"/>
      <c r="O18" s="101"/>
      <c r="P18" s="101"/>
      <c r="Q18" s="116"/>
      <c r="R18" s="101"/>
      <c r="S18" s="114"/>
      <c r="T18" s="114"/>
      <c r="U18" s="114"/>
      <c r="V18" s="114"/>
      <c r="W18" s="114"/>
      <c r="X18" s="97"/>
    </row>
    <row r="19" spans="1:24" ht="24.75" customHeight="1" x14ac:dyDescent="0.3">
      <c r="A19" s="97"/>
      <c r="B19" s="990" t="s">
        <v>286</v>
      </c>
      <c r="C19" s="519" t="s">
        <v>281</v>
      </c>
      <c r="D19" s="524">
        <f>'5. Area Habitats'!P5</f>
        <v>-2.9237599999999996E-3</v>
      </c>
      <c r="E19" s="525" t="str" cm="1">
        <f t="array" ref="E19">_xlfn.IFS(D19&gt;=F11,"✓",D19&lt;0,"▲", D19&lt;F11,"⚠")</f>
        <v>▲</v>
      </c>
      <c r="F19" s="487">
        <f>F11/D11</f>
        <v>9.9999999999999992E-2</v>
      </c>
      <c r="G19" s="101"/>
      <c r="H19" s="101"/>
      <c r="I19" s="101"/>
      <c r="J19" s="101"/>
      <c r="K19" s="101"/>
      <c r="L19" s="101"/>
      <c r="M19" s="101"/>
      <c r="N19" s="101"/>
      <c r="O19" s="101"/>
      <c r="P19" s="101"/>
      <c r="Q19" s="116"/>
      <c r="R19" s="101"/>
      <c r="S19" s="114"/>
      <c r="T19" s="114"/>
      <c r="U19" s="114"/>
      <c r="V19" s="114"/>
      <c r="W19" s="114"/>
      <c r="X19" s="97"/>
    </row>
    <row r="20" spans="1:24" ht="24.75" customHeight="1" x14ac:dyDescent="0.3">
      <c r="A20" s="97"/>
      <c r="B20" s="991"/>
      <c r="C20" s="520" t="s">
        <v>282</v>
      </c>
      <c r="D20" s="526">
        <f>'6. Hedges &amp; Lines of Trees'!P5</f>
        <v>0</v>
      </c>
      <c r="E20" s="527" t="e" cm="1">
        <f t="array" ref="E20">_xlfn.IFS(D20&gt;=F12,"✓",D20&lt;0,"▲", D20&lt;F12,"⚠")</f>
        <v>#VALUE!</v>
      </c>
      <c r="F20" s="487" t="e">
        <f>F12/D12</f>
        <v>#VALUE!</v>
      </c>
      <c r="G20" s="101"/>
      <c r="H20" s="101"/>
      <c r="I20" s="101"/>
      <c r="J20" s="101"/>
      <c r="K20" s="101"/>
      <c r="L20" s="101"/>
      <c r="M20" s="101"/>
      <c r="N20" s="101"/>
      <c r="O20" s="101"/>
      <c r="P20" s="101"/>
      <c r="Q20" s="116"/>
      <c r="R20" s="101"/>
      <c r="S20" s="114"/>
      <c r="T20" s="114"/>
      <c r="U20" s="114"/>
      <c r="V20" s="114"/>
      <c r="W20" s="114"/>
      <c r="X20" s="97"/>
    </row>
    <row r="21" spans="1:24" ht="24.75" customHeight="1" x14ac:dyDescent="0.3">
      <c r="A21" s="97"/>
      <c r="B21" s="992"/>
      <c r="C21" s="521" t="s">
        <v>283</v>
      </c>
      <c r="D21" s="522">
        <f>'7. Watercourses'!P5</f>
        <v>0</v>
      </c>
      <c r="E21" s="523" t="e" cm="1">
        <f t="array" ref="E21">_xlfn.IFS(D21&gt;=F13,"✓",D21&lt;0,"▲", D21&lt;F13,"⚠")</f>
        <v>#VALUE!</v>
      </c>
      <c r="F21" s="487" t="e">
        <f>F13/D13</f>
        <v>#VALUE!</v>
      </c>
      <c r="G21" s="101"/>
      <c r="H21" s="101"/>
      <c r="I21" s="101"/>
      <c r="J21" s="101"/>
      <c r="K21" s="101"/>
      <c r="L21" s="101"/>
      <c r="M21" s="101"/>
      <c r="N21" s="101"/>
      <c r="O21" s="101"/>
      <c r="P21" s="101"/>
      <c r="Q21" s="116"/>
      <c r="R21" s="101"/>
      <c r="S21" s="114"/>
      <c r="T21" s="114"/>
      <c r="U21" s="114"/>
      <c r="V21" s="114"/>
      <c r="W21" s="114"/>
      <c r="X21" s="97"/>
    </row>
    <row r="22" spans="1:24" ht="24.75" customHeight="1" x14ac:dyDescent="0.35">
      <c r="A22" s="97"/>
      <c r="B22" s="99"/>
      <c r="C22" s="191"/>
      <c r="D22" s="107"/>
      <c r="E22" s="107"/>
      <c r="F22" s="485"/>
      <c r="G22" s="101"/>
      <c r="H22" s="101"/>
      <c r="I22" s="101"/>
      <c r="J22" s="101"/>
      <c r="K22" s="101"/>
      <c r="L22" s="101"/>
      <c r="M22" s="101"/>
      <c r="N22" s="101"/>
      <c r="O22" s="101"/>
      <c r="P22" s="101"/>
      <c r="Q22" s="116"/>
      <c r="R22" s="101"/>
      <c r="S22" s="114"/>
      <c r="T22" s="114"/>
      <c r="U22" s="114"/>
      <c r="V22" s="114"/>
      <c r="W22" s="114"/>
      <c r="X22" s="97"/>
    </row>
    <row r="23" spans="1:24" ht="24.75" customHeight="1" x14ac:dyDescent="0.3">
      <c r="A23" s="97"/>
      <c r="B23" s="661" t="s">
        <v>287</v>
      </c>
      <c r="C23" s="519" t="s">
        <v>281</v>
      </c>
      <c r="D23" s="528">
        <f>IF(D11="Zero Units Baseline","% target not appropriate",D19/D11)</f>
        <v>-1</v>
      </c>
      <c r="E23" s="529" t="str" cm="1">
        <f t="array" ref="E23">_xlfn.IFS(D23&gt;=F19,"✓",D23&lt;0,"▲", D23&lt;F19,"⚠")</f>
        <v>▲</v>
      </c>
      <c r="F23" s="485">
        <f>$D$23*100</f>
        <v>-100</v>
      </c>
      <c r="G23" s="101"/>
      <c r="H23" s="101"/>
      <c r="I23" s="101"/>
      <c r="J23" s="101"/>
      <c r="K23" s="101"/>
      <c r="L23" s="101"/>
      <c r="M23" s="101"/>
      <c r="N23" s="101"/>
      <c r="O23" s="101"/>
      <c r="P23" s="101"/>
      <c r="Q23" s="116"/>
      <c r="R23" s="101"/>
      <c r="S23" s="114"/>
      <c r="T23" s="114"/>
      <c r="U23" s="114"/>
      <c r="V23" s="114"/>
      <c r="W23" s="114"/>
      <c r="X23" s="97"/>
    </row>
    <row r="24" spans="1:24" ht="24.75" customHeight="1" x14ac:dyDescent="0.3">
      <c r="A24" s="97"/>
      <c r="B24" s="993"/>
      <c r="C24" s="520" t="s">
        <v>282</v>
      </c>
      <c r="D24" s="530" t="str">
        <f>IF(D12="Zero Units Baseline","% target not appropriate",D20/D12)</f>
        <v>% target not appropriate</v>
      </c>
      <c r="E24" s="531" t="e" cm="1">
        <f t="array" ref="E24">_xlfn.IFS(D24&gt;=F20,"✓",D24&lt;0,"▲", D24&lt;F20,"⚠")</f>
        <v>#VALUE!</v>
      </c>
      <c r="F24" s="485" t="e">
        <f>$D$24*100</f>
        <v>#VALUE!</v>
      </c>
      <c r="G24" s="101"/>
      <c r="H24" s="101"/>
      <c r="I24" s="101"/>
      <c r="J24" s="101"/>
      <c r="K24" s="101"/>
      <c r="L24" s="101"/>
      <c r="M24" s="101"/>
      <c r="N24" s="101"/>
      <c r="O24" s="101"/>
      <c r="P24" s="101"/>
      <c r="Q24" s="116"/>
      <c r="R24" s="101"/>
      <c r="S24" s="114"/>
      <c r="T24" s="114"/>
      <c r="U24" s="114"/>
      <c r="V24" s="114"/>
      <c r="W24" s="114"/>
      <c r="X24" s="97"/>
    </row>
    <row r="25" spans="1:24" ht="24.75" customHeight="1" x14ac:dyDescent="0.3">
      <c r="A25" s="97"/>
      <c r="B25" s="994"/>
      <c r="C25" s="521" t="s">
        <v>283</v>
      </c>
      <c r="D25" s="532" t="str">
        <f>IF(D13="Zero Units Baseline","% target not appropriate",D21/D13)</f>
        <v>% target not appropriate</v>
      </c>
      <c r="E25" s="533" t="e" cm="1">
        <f t="array" ref="E25">_xlfn.IFS(D25&gt;=F21,"✓",D25&lt;0,"▲", D25&lt;F21,"⚠")</f>
        <v>#VALUE!</v>
      </c>
      <c r="F25" s="485" t="e">
        <f>$D$25*100</f>
        <v>#VALUE!</v>
      </c>
      <c r="G25" s="101"/>
      <c r="H25" s="101"/>
      <c r="I25" s="101"/>
      <c r="J25" s="101"/>
      <c r="K25" s="101"/>
      <c r="L25" s="101"/>
      <c r="M25" s="101"/>
      <c r="N25" s="101"/>
      <c r="O25" s="101"/>
      <c r="P25" s="101"/>
      <c r="Q25" s="116"/>
      <c r="R25" s="101"/>
      <c r="S25" s="114"/>
      <c r="T25" s="114"/>
      <c r="U25" s="114"/>
      <c r="V25" s="114"/>
      <c r="W25" s="114"/>
      <c r="X25" s="97"/>
    </row>
    <row r="26" spans="1:24" ht="24.75" customHeight="1" x14ac:dyDescent="0.35">
      <c r="A26" s="97"/>
      <c r="B26" s="97"/>
      <c r="C26" s="97"/>
      <c r="D26" s="207"/>
      <c r="E26" s="207"/>
      <c r="F26" s="485"/>
      <c r="G26" s="101"/>
      <c r="H26" s="101"/>
      <c r="I26" s="101"/>
      <c r="J26" s="101"/>
      <c r="K26" s="101"/>
      <c r="L26" s="101"/>
      <c r="M26" s="101"/>
      <c r="N26" s="101"/>
      <c r="O26" s="101"/>
      <c r="P26" s="101"/>
      <c r="Q26" s="116"/>
      <c r="R26" s="101"/>
      <c r="S26" s="114"/>
      <c r="T26" s="114"/>
      <c r="U26" s="114"/>
      <c r="V26" s="114"/>
      <c r="W26" s="114"/>
      <c r="X26" s="97"/>
    </row>
    <row r="27" spans="1:24" ht="24.75" customHeight="1" x14ac:dyDescent="0.3">
      <c r="A27" s="97"/>
      <c r="B27" s="977" t="s">
        <v>288</v>
      </c>
      <c r="C27" s="978"/>
      <c r="D27" s="979">
        <f>IFERROR(IF(D11="Zero Units Baseline",IF('2. Site Details'!D17&lt;=D15,0,'2. Site Details'!D17-D15),(IF((D11*(1+('2. Site Details'!D13/100)))-D15&lt;0,0,F15-D15))),"")</f>
        <v>3.2161359999999996E-3</v>
      </c>
      <c r="E27" s="980"/>
      <c r="F27" s="485"/>
      <c r="G27" s="101"/>
      <c r="H27" s="101"/>
      <c r="I27" s="101"/>
      <c r="J27" s="101"/>
      <c r="K27" s="101"/>
      <c r="L27" s="101"/>
      <c r="M27" s="101"/>
      <c r="N27" s="101"/>
      <c r="O27" s="101"/>
      <c r="P27" s="101"/>
      <c r="Q27" s="116"/>
      <c r="R27" s="101"/>
      <c r="S27" s="114"/>
      <c r="T27" s="114"/>
      <c r="U27" s="114"/>
      <c r="V27" s="114"/>
      <c r="W27" s="114"/>
      <c r="X27" s="97"/>
    </row>
    <row r="28" spans="1:24" ht="24.75" customHeight="1" x14ac:dyDescent="0.3">
      <c r="A28" s="97"/>
      <c r="B28" s="981" t="s">
        <v>289</v>
      </c>
      <c r="C28" s="982"/>
      <c r="D28" s="983">
        <f>IFERROR(IF(D12="Zero Units Baseline",IF('2. Site Details'!D18&lt;=D16,0,'2. Site Details'!D18-D16),(IF((D12*(1+('2. Site Details'!D14/100)))-D16&lt;0,0,F16-D16))),"")</f>
        <v>0</v>
      </c>
      <c r="E28" s="984"/>
      <c r="F28" s="485"/>
      <c r="G28" s="202"/>
      <c r="H28" s="101"/>
      <c r="I28" s="101"/>
      <c r="J28" s="101"/>
      <c r="K28" s="101"/>
      <c r="L28" s="101"/>
      <c r="M28" s="101"/>
      <c r="N28" s="101"/>
      <c r="O28" s="101"/>
      <c r="P28" s="101"/>
      <c r="Q28" s="116"/>
      <c r="R28" s="101"/>
      <c r="S28" s="114"/>
      <c r="T28" s="114"/>
      <c r="U28" s="114"/>
      <c r="V28" s="114"/>
      <c r="W28" s="114"/>
      <c r="X28" s="97"/>
    </row>
    <row r="29" spans="1:24" ht="24.75" customHeight="1" x14ac:dyDescent="0.3">
      <c r="A29" s="97"/>
      <c r="B29" s="985" t="s">
        <v>290</v>
      </c>
      <c r="C29" s="986"/>
      <c r="D29" s="987">
        <f>IFERROR(IF(D13="Zero Units Baseline",IF('2. Site Details'!D19&lt;=D17,0,'2. Site Details'!D19-D17),(IF((D13*(1+('2. Site Details'!D15/100)))-D17&lt;0,0,F17-D17))),"")</f>
        <v>0</v>
      </c>
      <c r="E29" s="988"/>
      <c r="F29" s="485"/>
      <c r="G29" s="101"/>
      <c r="H29" s="101"/>
      <c r="I29" s="101"/>
      <c r="J29" s="101"/>
      <c r="K29" s="101"/>
      <c r="L29" s="101"/>
      <c r="M29" s="101"/>
      <c r="N29" s="101"/>
      <c r="O29" s="101"/>
      <c r="P29" s="101"/>
      <c r="Q29" s="116"/>
      <c r="R29" s="101"/>
      <c r="S29" s="114"/>
      <c r="T29" s="114"/>
      <c r="U29" s="114"/>
      <c r="V29" s="114"/>
      <c r="W29" s="114"/>
      <c r="X29" s="97"/>
    </row>
    <row r="30" spans="1:24" ht="10.199999999999999" customHeight="1" x14ac:dyDescent="0.35">
      <c r="A30" s="97"/>
      <c r="B30" s="97"/>
      <c r="C30" s="97"/>
      <c r="D30" s="207"/>
      <c r="E30" s="207"/>
      <c r="F30" s="485"/>
      <c r="G30" s="101"/>
      <c r="H30" s="101"/>
      <c r="I30" s="101"/>
      <c r="J30" s="101"/>
      <c r="K30" s="101"/>
      <c r="L30" s="101"/>
      <c r="M30" s="101"/>
      <c r="N30" s="101"/>
      <c r="O30" s="101"/>
      <c r="P30" s="101"/>
      <c r="Q30" s="116"/>
      <c r="R30" s="101"/>
      <c r="S30" s="114"/>
      <c r="T30" s="114"/>
      <c r="U30" s="114"/>
      <c r="V30" s="114"/>
      <c r="W30" s="114"/>
      <c r="X30" s="97"/>
    </row>
    <row r="31" spans="1:24" ht="19.95" customHeight="1" x14ac:dyDescent="0.35">
      <c r="A31" s="97"/>
      <c r="B31" s="118"/>
      <c r="C31" s="97"/>
      <c r="D31" s="207"/>
      <c r="E31" s="207"/>
      <c r="F31" s="485"/>
      <c r="G31" s="101"/>
      <c r="H31" s="101"/>
      <c r="I31" s="101"/>
      <c r="J31" s="101"/>
      <c r="K31" s="101"/>
      <c r="L31" s="101"/>
      <c r="M31" s="101"/>
      <c r="N31" s="101"/>
      <c r="O31" s="101"/>
      <c r="P31" s="101"/>
      <c r="Q31" s="116"/>
      <c r="R31" s="101"/>
      <c r="S31" s="114"/>
      <c r="T31" s="114"/>
      <c r="U31" s="114"/>
      <c r="V31" s="114"/>
      <c r="W31" s="114"/>
      <c r="X31" s="97"/>
    </row>
    <row r="32" spans="1:24" ht="9" customHeight="1" x14ac:dyDescent="0.35">
      <c r="A32" s="97"/>
      <c r="B32" s="97"/>
      <c r="C32" s="97"/>
      <c r="D32" s="207"/>
      <c r="E32" s="207"/>
      <c r="F32" s="485"/>
      <c r="G32" s="97"/>
      <c r="H32" s="101"/>
      <c r="I32" s="101"/>
      <c r="J32" s="101"/>
      <c r="K32" s="101"/>
      <c r="L32" s="101"/>
      <c r="M32" s="101"/>
      <c r="N32" s="101"/>
      <c r="O32" s="101"/>
      <c r="P32" s="101"/>
      <c r="Q32" s="116"/>
      <c r="R32" s="101"/>
      <c r="S32" s="114"/>
      <c r="T32" s="114"/>
      <c r="U32" s="114"/>
      <c r="V32" s="114"/>
      <c r="W32" s="114"/>
      <c r="X32" s="97"/>
    </row>
    <row r="33" spans="1:24" ht="23.55" customHeight="1" x14ac:dyDescent="0.35">
      <c r="A33" s="97"/>
      <c r="B33" s="118" t="s">
        <v>291</v>
      </c>
      <c r="C33" s="97"/>
      <c r="D33" s="207"/>
      <c r="E33" s="207"/>
      <c r="F33" s="485"/>
      <c r="G33" s="101"/>
      <c r="H33" s="101"/>
      <c r="I33" s="101"/>
      <c r="J33" s="101"/>
      <c r="K33" s="101"/>
      <c r="L33" s="101"/>
      <c r="M33" s="101"/>
      <c r="N33" s="101"/>
      <c r="O33" s="101"/>
      <c r="P33" s="101"/>
      <c r="Q33" s="116"/>
      <c r="R33" s="101"/>
      <c r="S33" s="97"/>
      <c r="T33" s="97"/>
      <c r="U33" s="97"/>
      <c r="V33" s="97"/>
      <c r="W33" s="97"/>
      <c r="X33" s="97"/>
    </row>
    <row r="34" spans="1:24" s="117" customFormat="1" ht="23.55" customHeight="1" x14ac:dyDescent="0.35">
      <c r="A34" s="101"/>
      <c r="B34" s="118"/>
      <c r="C34" s="97"/>
      <c r="D34" s="207"/>
      <c r="E34" s="207"/>
      <c r="F34" s="485"/>
      <c r="G34" s="97"/>
      <c r="H34" s="97"/>
      <c r="I34" s="97"/>
      <c r="J34" s="97"/>
      <c r="K34" s="97"/>
      <c r="L34" s="97"/>
      <c r="M34" s="97"/>
      <c r="N34" s="97"/>
      <c r="O34" s="97"/>
      <c r="P34" s="101"/>
      <c r="Q34" s="116"/>
      <c r="R34" s="101"/>
      <c r="S34" s="101"/>
      <c r="T34" s="101"/>
      <c r="U34" s="101"/>
      <c r="V34" s="101"/>
      <c r="W34" s="101"/>
      <c r="X34" s="101"/>
    </row>
    <row r="35" spans="1:24" s="117" customFormat="1" ht="23.55" customHeight="1" x14ac:dyDescent="0.3">
      <c r="A35" s="101"/>
      <c r="B35" s="97"/>
      <c r="C35" s="97" t="s">
        <v>292</v>
      </c>
      <c r="D35" s="97" t="s">
        <v>293</v>
      </c>
      <c r="E35" s="114"/>
      <c r="F35" s="485"/>
      <c r="G35" s="97"/>
      <c r="H35" s="97"/>
      <c r="I35" s="97"/>
      <c r="J35" s="97"/>
      <c r="K35" s="97"/>
      <c r="L35" s="97"/>
      <c r="M35" s="97"/>
      <c r="N35" s="97"/>
      <c r="O35" s="97"/>
      <c r="P35" s="101"/>
      <c r="Q35" s="116"/>
      <c r="R35" s="101"/>
      <c r="S35" s="101"/>
      <c r="T35" s="101"/>
      <c r="U35" s="101"/>
      <c r="V35" s="101"/>
      <c r="W35" s="101"/>
      <c r="X35" s="101"/>
    </row>
    <row r="36" spans="1:24" ht="23.55" customHeight="1" x14ac:dyDescent="0.3">
      <c r="A36" s="97"/>
      <c r="B36" s="381" t="s">
        <v>281</v>
      </c>
      <c r="C36" s="113">
        <f>IF(D11="Zero Units Baseline",0,D11)</f>
        <v>2.9237599999999996E-3</v>
      </c>
      <c r="D36" s="113">
        <f>D15</f>
        <v>0</v>
      </c>
      <c r="E36" s="114"/>
      <c r="F36" s="485"/>
      <c r="G36" s="97"/>
      <c r="H36" s="97"/>
      <c r="I36" s="97"/>
      <c r="J36" s="97"/>
      <c r="K36" s="97"/>
      <c r="L36" s="97"/>
      <c r="M36" s="97"/>
      <c r="N36" s="97"/>
      <c r="O36" s="97"/>
      <c r="P36" s="97"/>
      <c r="Q36" s="116"/>
      <c r="R36" s="101"/>
      <c r="S36" s="101"/>
      <c r="T36" s="101"/>
      <c r="U36" s="101"/>
      <c r="V36" s="101"/>
      <c r="W36" s="101"/>
      <c r="X36" s="97"/>
    </row>
    <row r="37" spans="1:24" ht="23.55" customHeight="1" x14ac:dyDescent="0.3">
      <c r="A37" s="97"/>
      <c r="B37" s="381" t="s">
        <v>282</v>
      </c>
      <c r="C37" s="113">
        <f>IF(D12="Zero Units Baseline",0,D12)</f>
        <v>0</v>
      </c>
      <c r="D37" s="113">
        <f>D16</f>
        <v>0</v>
      </c>
      <c r="E37" s="114"/>
      <c r="F37" s="485"/>
      <c r="G37" s="97"/>
      <c r="H37" s="97"/>
      <c r="I37" s="97"/>
      <c r="J37" s="97"/>
      <c r="K37" s="97"/>
      <c r="L37" s="97"/>
      <c r="M37" s="97"/>
      <c r="N37" s="97"/>
      <c r="O37" s="97"/>
      <c r="P37" s="97"/>
      <c r="Q37" s="116"/>
      <c r="R37" s="101"/>
      <c r="S37" s="101"/>
      <c r="T37" s="101"/>
      <c r="U37" s="101"/>
      <c r="V37" s="101"/>
      <c r="W37" s="101"/>
      <c r="X37" s="97"/>
    </row>
    <row r="38" spans="1:24" ht="23.55" customHeight="1" x14ac:dyDescent="0.3">
      <c r="A38" s="97"/>
      <c r="B38" s="381" t="s">
        <v>294</v>
      </c>
      <c r="C38" s="113">
        <f>IF(D13="Zero Units Baseline",0,D13)</f>
        <v>0</v>
      </c>
      <c r="D38" s="113">
        <f>D17</f>
        <v>0</v>
      </c>
      <c r="E38" s="114"/>
      <c r="F38" s="485"/>
      <c r="G38" s="97"/>
      <c r="H38" s="97"/>
      <c r="I38" s="97"/>
      <c r="J38" s="97"/>
      <c r="K38" s="97"/>
      <c r="L38" s="97"/>
      <c r="M38" s="97"/>
      <c r="N38" s="97"/>
      <c r="O38" s="97"/>
      <c r="P38" s="97"/>
      <c r="Q38" s="116"/>
      <c r="R38" s="101"/>
      <c r="S38" s="101"/>
      <c r="T38" s="101"/>
      <c r="U38" s="101"/>
      <c r="V38" s="101"/>
      <c r="W38" s="101"/>
      <c r="X38" s="97"/>
    </row>
    <row r="39" spans="1:24" ht="23.55" customHeight="1" x14ac:dyDescent="0.35">
      <c r="A39" s="97"/>
      <c r="B39" s="118"/>
      <c r="C39" s="97"/>
      <c r="D39" s="207"/>
      <c r="E39" s="207"/>
      <c r="F39" s="485"/>
      <c r="G39" s="97"/>
      <c r="H39" s="97"/>
      <c r="I39" s="97"/>
      <c r="J39" s="97"/>
      <c r="K39" s="97"/>
      <c r="L39" s="97"/>
      <c r="M39" s="97"/>
      <c r="N39" s="97"/>
      <c r="O39" s="97"/>
      <c r="P39" s="97"/>
      <c r="Q39" s="116"/>
      <c r="R39" s="101"/>
      <c r="S39" s="101"/>
      <c r="T39" s="101"/>
      <c r="U39" s="101"/>
      <c r="V39" s="101"/>
      <c r="W39" s="101"/>
      <c r="X39" s="97"/>
    </row>
    <row r="40" spans="1:24" ht="23.55" customHeight="1" x14ac:dyDescent="0.35">
      <c r="A40" s="97"/>
      <c r="B40" s="118"/>
      <c r="C40" s="97"/>
      <c r="D40" s="207"/>
      <c r="E40" s="207"/>
      <c r="F40" s="485"/>
      <c r="G40" s="97"/>
      <c r="H40" s="97"/>
      <c r="I40" s="97"/>
      <c r="J40" s="97"/>
      <c r="K40" s="97"/>
      <c r="L40" s="97"/>
      <c r="M40" s="97"/>
      <c r="N40" s="97"/>
      <c r="O40" s="97"/>
      <c r="P40" s="97"/>
      <c r="Q40" s="116"/>
      <c r="R40" s="101"/>
      <c r="S40" s="101"/>
      <c r="T40" s="101"/>
      <c r="U40" s="101"/>
      <c r="V40" s="101"/>
      <c r="W40" s="101"/>
      <c r="X40" s="97"/>
    </row>
    <row r="41" spans="1:24" ht="23.55" customHeight="1" x14ac:dyDescent="0.35">
      <c r="A41" s="97"/>
      <c r="B41" s="118"/>
      <c r="C41" s="97"/>
      <c r="D41" s="207"/>
      <c r="E41" s="207"/>
      <c r="F41" s="485"/>
      <c r="G41" s="97"/>
      <c r="H41" s="97"/>
      <c r="I41" s="97"/>
      <c r="J41" s="97"/>
      <c r="K41" s="97"/>
      <c r="L41" s="97"/>
      <c r="M41" s="97"/>
      <c r="N41" s="97"/>
      <c r="O41" s="97"/>
      <c r="P41" s="97"/>
      <c r="Q41" s="116"/>
      <c r="R41" s="101"/>
      <c r="S41" s="101"/>
      <c r="T41" s="101"/>
      <c r="U41" s="101"/>
      <c r="V41" s="101"/>
      <c r="W41" s="101"/>
      <c r="X41" s="97"/>
    </row>
    <row r="42" spans="1:24" ht="23.55" customHeight="1" x14ac:dyDescent="0.35">
      <c r="A42" s="97"/>
      <c r="B42" s="118"/>
      <c r="C42" s="97"/>
      <c r="D42" s="207"/>
      <c r="E42" s="207"/>
      <c r="F42" s="485"/>
      <c r="G42" s="99"/>
      <c r="H42" s="99"/>
      <c r="I42" s="99"/>
      <c r="J42" s="99"/>
      <c r="K42" s="99"/>
      <c r="L42" s="99"/>
      <c r="M42" s="100"/>
      <c r="N42" s="100"/>
      <c r="O42" s="97"/>
      <c r="P42" s="97"/>
      <c r="Q42" s="116"/>
      <c r="R42" s="101"/>
      <c r="S42" s="101"/>
      <c r="T42" s="101"/>
      <c r="U42" s="101"/>
      <c r="V42" s="101"/>
      <c r="W42" s="101"/>
      <c r="X42" s="97"/>
    </row>
    <row r="43" spans="1:24" ht="23.55" customHeight="1" x14ac:dyDescent="0.35">
      <c r="A43" s="97"/>
      <c r="B43" s="118"/>
      <c r="C43" s="97"/>
      <c r="D43" s="207"/>
      <c r="E43" s="207"/>
      <c r="F43" s="485"/>
      <c r="G43" s="97"/>
      <c r="H43" s="97"/>
      <c r="I43" s="97"/>
      <c r="J43" s="97"/>
      <c r="K43" s="97"/>
      <c r="L43" s="97"/>
      <c r="M43" s="97"/>
      <c r="N43" s="97"/>
      <c r="O43" s="97"/>
      <c r="P43" s="97"/>
      <c r="Q43" s="97"/>
      <c r="R43" s="97"/>
      <c r="S43" s="97"/>
      <c r="T43" s="97"/>
      <c r="U43" s="97"/>
      <c r="V43" s="97"/>
      <c r="W43" s="97"/>
      <c r="X43" s="97"/>
    </row>
    <row r="44" spans="1:24" ht="36.75" customHeight="1" x14ac:dyDescent="0.35">
      <c r="A44" s="97"/>
      <c r="B44" s="118"/>
      <c r="C44" s="97"/>
      <c r="D44" s="207"/>
      <c r="E44" s="207"/>
      <c r="F44" s="485"/>
      <c r="G44" s="97"/>
      <c r="H44" s="97"/>
      <c r="I44" s="97"/>
      <c r="J44" s="97"/>
      <c r="K44" s="97"/>
      <c r="L44" s="97"/>
      <c r="M44" s="97"/>
      <c r="N44" s="97"/>
      <c r="O44" s="97"/>
      <c r="P44" s="97"/>
      <c r="Q44" s="97"/>
      <c r="R44" s="97"/>
      <c r="S44" s="97"/>
      <c r="T44" s="97"/>
      <c r="U44" s="97"/>
      <c r="V44" s="97"/>
      <c r="W44" s="97"/>
      <c r="X44" s="97"/>
    </row>
    <row r="45" spans="1:24" ht="21" customHeight="1" x14ac:dyDescent="0.35">
      <c r="A45" s="97"/>
      <c r="B45" s="118"/>
      <c r="C45" s="97"/>
      <c r="D45" s="207"/>
      <c r="E45" s="207"/>
      <c r="F45" s="485"/>
      <c r="G45" s="97"/>
      <c r="H45" s="97"/>
      <c r="I45" s="97"/>
      <c r="J45" s="97"/>
      <c r="K45" s="97"/>
      <c r="L45" s="97"/>
      <c r="M45" s="97"/>
      <c r="N45" s="97"/>
      <c r="O45" s="97"/>
      <c r="P45" s="97"/>
      <c r="Q45" s="97"/>
      <c r="R45" s="97"/>
      <c r="S45" s="97"/>
      <c r="T45" s="97"/>
      <c r="U45" s="97"/>
      <c r="V45" s="97"/>
      <c r="W45" s="97"/>
      <c r="X45" s="97"/>
    </row>
    <row r="46" spans="1:24" s="117" customFormat="1" ht="21" customHeight="1" x14ac:dyDescent="0.35">
      <c r="A46" s="101"/>
      <c r="B46" s="118"/>
      <c r="C46" s="97"/>
      <c r="D46" s="207"/>
      <c r="E46" s="207"/>
      <c r="F46" s="485"/>
      <c r="G46" s="118"/>
      <c r="H46" s="101"/>
      <c r="I46" s="101"/>
      <c r="J46" s="101"/>
      <c r="K46" s="101"/>
      <c r="L46" s="101"/>
      <c r="M46" s="101"/>
      <c r="N46" s="101"/>
      <c r="O46" s="101"/>
      <c r="P46" s="101"/>
      <c r="Q46" s="101"/>
      <c r="R46" s="101"/>
      <c r="S46" s="101"/>
      <c r="T46" s="101"/>
      <c r="U46" s="101"/>
      <c r="V46" s="101"/>
      <c r="W46" s="101"/>
      <c r="X46" s="101"/>
    </row>
    <row r="47" spans="1:24" s="117" customFormat="1" ht="21" customHeight="1" x14ac:dyDescent="0.35">
      <c r="A47" s="101"/>
      <c r="B47" s="118"/>
      <c r="C47" s="97"/>
      <c r="D47" s="207"/>
      <c r="E47" s="207"/>
      <c r="F47" s="485"/>
      <c r="G47" s="118"/>
      <c r="H47" s="101"/>
      <c r="I47" s="101"/>
      <c r="J47" s="101"/>
      <c r="K47" s="101"/>
      <c r="L47" s="101"/>
      <c r="M47" s="101"/>
      <c r="N47" s="101"/>
      <c r="O47" s="101"/>
      <c r="P47" s="101"/>
      <c r="Q47" s="101"/>
      <c r="R47" s="101"/>
      <c r="S47" s="101"/>
      <c r="T47" s="101"/>
      <c r="U47" s="101"/>
      <c r="V47" s="101"/>
      <c r="W47" s="101"/>
      <c r="X47" s="101"/>
    </row>
    <row r="48" spans="1:24" s="117" customFormat="1" ht="21" customHeight="1" x14ac:dyDescent="0.35">
      <c r="A48" s="101"/>
      <c r="B48" s="118"/>
      <c r="C48" s="97"/>
      <c r="D48" s="207"/>
      <c r="E48" s="207"/>
      <c r="F48" s="485"/>
      <c r="G48" s="118"/>
      <c r="H48" s="101"/>
      <c r="I48" s="101"/>
      <c r="J48" s="101"/>
      <c r="K48" s="101"/>
      <c r="L48" s="101"/>
      <c r="M48" s="101"/>
      <c r="N48" s="101"/>
      <c r="O48" s="101"/>
      <c r="P48" s="101"/>
      <c r="Q48" s="101"/>
      <c r="R48" s="101"/>
      <c r="S48" s="101"/>
      <c r="T48" s="101"/>
      <c r="U48" s="101"/>
      <c r="V48" s="101"/>
      <c r="W48" s="101"/>
      <c r="X48" s="101"/>
    </row>
    <row r="49" spans="1:24" ht="23.55" customHeight="1" x14ac:dyDescent="0.35">
      <c r="A49" s="97"/>
      <c r="B49" s="118"/>
      <c r="C49" s="97"/>
      <c r="D49" s="207"/>
      <c r="E49" s="207"/>
      <c r="F49" s="485"/>
      <c r="G49" s="118"/>
      <c r="H49" s="101"/>
      <c r="I49" s="101"/>
      <c r="J49" s="101"/>
      <c r="K49" s="101"/>
      <c r="L49" s="101"/>
      <c r="M49" s="97"/>
      <c r="N49" s="97"/>
      <c r="O49" s="97"/>
      <c r="P49" s="97"/>
      <c r="Q49" s="177"/>
      <c r="R49" s="177"/>
      <c r="S49" s="177"/>
      <c r="T49" s="177"/>
      <c r="U49" s="177"/>
      <c r="V49" s="177"/>
      <c r="W49" s="177"/>
      <c r="X49" s="177"/>
    </row>
    <row r="50" spans="1:24" ht="18" customHeight="1" x14ac:dyDescent="0.3">
      <c r="A50" s="97"/>
      <c r="B50" s="97"/>
      <c r="C50" s="101"/>
      <c r="D50" s="101"/>
      <c r="E50" s="101"/>
      <c r="F50" s="485"/>
      <c r="G50" s="118"/>
      <c r="H50" s="101"/>
      <c r="I50" s="101"/>
      <c r="J50" s="101"/>
      <c r="K50" s="101"/>
      <c r="L50" s="101"/>
      <c r="M50" s="97"/>
      <c r="N50" s="97"/>
      <c r="O50" s="97"/>
      <c r="P50" s="97"/>
      <c r="Q50" s="177"/>
      <c r="R50" s="177"/>
      <c r="S50" s="177"/>
      <c r="T50" s="177"/>
      <c r="U50" s="177"/>
      <c r="V50" s="177"/>
      <c r="W50" s="177"/>
      <c r="X50" s="177"/>
    </row>
    <row r="51" spans="1:24" ht="18.75" customHeight="1" x14ac:dyDescent="0.3">
      <c r="A51" s="97"/>
      <c r="B51" s="97"/>
      <c r="C51" s="101"/>
      <c r="D51" s="101"/>
      <c r="E51" s="101"/>
      <c r="F51" s="485"/>
      <c r="G51" s="118"/>
      <c r="H51" s="101"/>
      <c r="I51" s="101"/>
      <c r="J51" s="101"/>
      <c r="K51" s="101"/>
      <c r="L51" s="101"/>
      <c r="M51" s="97"/>
      <c r="N51" s="97"/>
      <c r="O51" s="97"/>
      <c r="P51" s="97"/>
      <c r="Q51" s="97"/>
      <c r="R51" s="97"/>
      <c r="S51" s="97"/>
      <c r="T51" s="97"/>
      <c r="U51" s="97"/>
      <c r="V51" s="97"/>
      <c r="W51" s="97"/>
      <c r="X51" s="97"/>
    </row>
    <row r="52" spans="1:24" ht="18.75" hidden="1" customHeight="1" x14ac:dyDescent="0.3">
      <c r="A52" s="97"/>
      <c r="B52" s="97"/>
      <c r="C52" s="101"/>
      <c r="D52" s="101"/>
      <c r="E52" s="101"/>
      <c r="F52" s="488"/>
      <c r="G52" s="118"/>
      <c r="H52" s="101"/>
      <c r="I52" s="101"/>
      <c r="J52" s="101"/>
      <c r="K52" s="101"/>
      <c r="L52" s="101"/>
      <c r="M52" s="97"/>
      <c r="N52" s="97"/>
      <c r="O52" s="97"/>
      <c r="P52" s="97"/>
      <c r="Q52" s="98"/>
      <c r="R52" s="97"/>
      <c r="S52" s="97"/>
      <c r="T52" s="97"/>
      <c r="U52" s="97"/>
      <c r="V52" s="97"/>
      <c r="W52" s="97"/>
      <c r="X52" s="97"/>
    </row>
    <row r="53" spans="1:24" ht="18.75" hidden="1" customHeight="1" x14ac:dyDescent="0.3">
      <c r="A53" s="97"/>
      <c r="B53" s="97"/>
      <c r="C53" s="101"/>
      <c r="D53" s="101"/>
      <c r="E53" s="101"/>
      <c r="F53" s="488"/>
      <c r="G53" s="118"/>
      <c r="H53" s="101"/>
      <c r="I53" s="101"/>
      <c r="J53" s="101"/>
      <c r="K53" s="101"/>
      <c r="L53" s="101"/>
      <c r="M53" s="97"/>
      <c r="N53" s="97"/>
      <c r="O53" s="97"/>
      <c r="P53" s="97"/>
      <c r="Q53" s="97"/>
      <c r="R53" s="97"/>
      <c r="S53" s="97"/>
      <c r="T53" s="97"/>
      <c r="U53" s="97"/>
      <c r="V53" s="97"/>
      <c r="W53" s="97"/>
      <c r="X53" s="97"/>
    </row>
    <row r="54" spans="1:24" ht="18" hidden="1" customHeight="1" x14ac:dyDescent="0.3">
      <c r="A54" s="97"/>
      <c r="B54" s="97"/>
      <c r="C54" s="101"/>
      <c r="D54" s="101"/>
      <c r="E54" s="101"/>
      <c r="F54" s="488"/>
      <c r="G54" s="118"/>
      <c r="H54" s="101"/>
      <c r="I54" s="101"/>
      <c r="J54" s="101"/>
      <c r="K54" s="101"/>
      <c r="L54" s="101"/>
      <c r="M54" s="97"/>
      <c r="N54" s="97"/>
      <c r="O54" s="97"/>
      <c r="P54" s="97"/>
      <c r="Q54" s="97"/>
      <c r="R54" s="97"/>
      <c r="S54" s="97"/>
      <c r="T54" s="97"/>
      <c r="U54" s="97"/>
      <c r="V54" s="97"/>
      <c r="W54" s="97"/>
      <c r="X54" s="97"/>
    </row>
    <row r="55" spans="1:24" ht="18.75" hidden="1" customHeight="1" x14ac:dyDescent="0.3">
      <c r="A55" s="97"/>
      <c r="B55" s="97"/>
      <c r="C55" s="101"/>
      <c r="D55" s="101"/>
      <c r="E55" s="101"/>
      <c r="F55" s="488"/>
      <c r="G55" s="118"/>
      <c r="H55" s="101"/>
      <c r="I55" s="101"/>
      <c r="J55" s="101"/>
      <c r="K55" s="101"/>
      <c r="L55" s="101"/>
      <c r="M55" s="97"/>
      <c r="N55" s="97"/>
      <c r="O55" s="97"/>
      <c r="P55" s="97"/>
      <c r="Q55" s="97"/>
      <c r="R55" s="97"/>
      <c r="S55" s="97"/>
      <c r="T55" s="97"/>
      <c r="U55" s="97"/>
      <c r="V55" s="97"/>
      <c r="W55" s="97"/>
      <c r="X55" s="97"/>
    </row>
    <row r="56" spans="1:24" ht="18.75" hidden="1" customHeight="1" x14ac:dyDescent="0.3">
      <c r="A56" s="97"/>
      <c r="B56" s="97"/>
      <c r="C56" s="101"/>
      <c r="D56" s="101"/>
      <c r="E56" s="101"/>
      <c r="F56" s="488"/>
      <c r="G56" s="118"/>
      <c r="H56" s="101"/>
      <c r="I56" s="101"/>
      <c r="J56" s="101"/>
      <c r="K56" s="101"/>
      <c r="L56" s="101"/>
      <c r="M56" s="97"/>
      <c r="N56" s="97"/>
      <c r="O56" s="97"/>
      <c r="P56" s="97"/>
      <c r="Q56" s="97"/>
      <c r="R56" s="97"/>
      <c r="S56" s="97"/>
      <c r="T56" s="97"/>
      <c r="U56" s="97"/>
      <c r="V56" s="97"/>
      <c r="W56" s="97"/>
      <c r="X56" s="97"/>
    </row>
    <row r="57" spans="1:24" ht="18" hidden="1" customHeight="1" x14ac:dyDescent="0.3">
      <c r="A57" s="97"/>
      <c r="B57" s="97"/>
      <c r="C57" s="101"/>
      <c r="D57" s="101"/>
      <c r="E57" s="101"/>
      <c r="F57" s="488"/>
      <c r="G57" s="118"/>
      <c r="H57" s="101"/>
      <c r="I57" s="101"/>
      <c r="J57" s="101"/>
      <c r="K57" s="101"/>
      <c r="L57" s="101"/>
      <c r="M57" s="97"/>
      <c r="N57" s="97"/>
      <c r="O57" s="97"/>
      <c r="P57" s="97"/>
      <c r="Q57" s="97"/>
      <c r="R57" s="97"/>
      <c r="S57" s="97"/>
      <c r="T57" s="97"/>
      <c r="U57" s="97"/>
      <c r="V57" s="97"/>
      <c r="W57" s="97"/>
      <c r="X57" s="97"/>
    </row>
    <row r="58" spans="1:24" ht="18.75" hidden="1" customHeight="1" x14ac:dyDescent="0.3">
      <c r="A58" s="97"/>
      <c r="B58" s="97"/>
      <c r="C58" s="101"/>
      <c r="D58" s="101"/>
      <c r="E58" s="101"/>
      <c r="F58" s="488"/>
      <c r="G58" s="118"/>
      <c r="H58" s="101"/>
      <c r="I58" s="101"/>
      <c r="J58" s="101"/>
      <c r="K58" s="101"/>
      <c r="L58" s="101"/>
      <c r="M58" s="97"/>
      <c r="N58" s="97"/>
      <c r="O58" s="97"/>
      <c r="P58" s="97"/>
      <c r="Q58" s="97"/>
      <c r="R58" s="97"/>
      <c r="S58" s="97"/>
      <c r="T58" s="97"/>
      <c r="U58" s="97"/>
      <c r="V58" s="97"/>
      <c r="W58" s="97"/>
      <c r="X58" s="97"/>
    </row>
    <row r="59" spans="1:24" ht="18.75" hidden="1" customHeight="1" x14ac:dyDescent="0.3">
      <c r="A59" s="97"/>
      <c r="B59" s="97"/>
      <c r="C59" s="101"/>
      <c r="D59" s="101"/>
      <c r="E59" s="101"/>
      <c r="F59" s="488"/>
      <c r="G59" s="118"/>
      <c r="H59" s="101"/>
      <c r="I59" s="101"/>
      <c r="J59" s="101"/>
      <c r="K59" s="101"/>
      <c r="L59" s="101"/>
      <c r="M59" s="97"/>
      <c r="N59" s="97"/>
      <c r="O59" s="97"/>
      <c r="P59" s="97"/>
      <c r="Q59" s="97"/>
      <c r="R59" s="97"/>
      <c r="S59" s="97"/>
      <c r="T59" s="97"/>
      <c r="U59" s="97"/>
      <c r="V59" s="97"/>
      <c r="W59" s="97"/>
      <c r="X59" s="97"/>
    </row>
    <row r="60" spans="1:24" ht="18.75" hidden="1" customHeight="1" x14ac:dyDescent="0.3">
      <c r="A60" s="97"/>
      <c r="B60" s="97"/>
      <c r="C60" s="101"/>
      <c r="D60" s="101"/>
      <c r="E60" s="101"/>
      <c r="F60" s="488"/>
      <c r="G60" s="118"/>
      <c r="H60" s="101"/>
      <c r="I60" s="101"/>
      <c r="J60" s="101"/>
      <c r="K60" s="101"/>
      <c r="L60" s="101"/>
      <c r="M60" s="97"/>
      <c r="N60" s="97"/>
      <c r="O60" s="97"/>
      <c r="P60" s="97"/>
      <c r="Q60" s="97"/>
      <c r="R60" s="97"/>
      <c r="S60" s="97"/>
      <c r="T60" s="97"/>
      <c r="U60" s="97"/>
      <c r="V60" s="97"/>
      <c r="W60" s="97"/>
      <c r="X60" s="97"/>
    </row>
    <row r="61" spans="1:24" ht="18.75" hidden="1" customHeight="1" x14ac:dyDescent="0.3">
      <c r="A61" s="97"/>
      <c r="B61" s="97"/>
      <c r="C61" s="101"/>
      <c r="D61" s="101"/>
      <c r="E61" s="101"/>
      <c r="F61" s="488"/>
      <c r="G61" s="118"/>
      <c r="H61" s="101"/>
      <c r="I61" s="101"/>
      <c r="J61" s="101"/>
      <c r="K61" s="101"/>
      <c r="L61" s="101"/>
      <c r="M61" s="97"/>
      <c r="N61" s="97"/>
      <c r="O61" s="97"/>
      <c r="P61" s="97"/>
      <c r="Q61" s="97"/>
      <c r="R61" s="97"/>
      <c r="S61" s="97"/>
      <c r="T61" s="97"/>
      <c r="U61" s="97"/>
      <c r="V61" s="97"/>
      <c r="W61" s="97"/>
      <c r="X61" s="97"/>
    </row>
    <row r="62" spans="1:24" ht="15.75" hidden="1" customHeight="1" x14ac:dyDescent="0.3">
      <c r="A62" s="97"/>
      <c r="B62" s="97"/>
      <c r="C62" s="101"/>
      <c r="D62" s="101"/>
      <c r="E62" s="101"/>
      <c r="F62" s="488"/>
      <c r="G62" s="118"/>
      <c r="H62" s="101"/>
      <c r="I62" s="101"/>
      <c r="J62" s="101"/>
      <c r="K62" s="101"/>
      <c r="L62" s="101"/>
      <c r="M62" s="97"/>
      <c r="N62" s="97"/>
      <c r="O62" s="97"/>
      <c r="P62" s="97"/>
      <c r="Q62" s="97"/>
      <c r="R62" s="97"/>
      <c r="S62" s="97"/>
      <c r="T62" s="97"/>
      <c r="U62" s="97"/>
      <c r="V62" s="97"/>
      <c r="W62" s="97"/>
      <c r="X62" s="97"/>
    </row>
    <row r="63" spans="1:24" ht="18" hidden="1" customHeight="1" x14ac:dyDescent="0.3">
      <c r="A63" s="97"/>
      <c r="B63" s="97"/>
      <c r="C63" s="101"/>
      <c r="D63" s="101"/>
      <c r="E63" s="101"/>
      <c r="F63" s="488"/>
      <c r="G63" s="118"/>
      <c r="H63" s="101"/>
      <c r="I63" s="101"/>
      <c r="J63" s="101"/>
      <c r="K63" s="101"/>
      <c r="L63" s="101"/>
      <c r="M63" s="97"/>
      <c r="N63" s="97"/>
      <c r="O63" s="97"/>
      <c r="P63" s="97"/>
      <c r="Q63" s="97"/>
      <c r="R63" s="97"/>
      <c r="S63" s="97"/>
      <c r="T63" s="97"/>
      <c r="U63" s="97"/>
      <c r="V63" s="97"/>
      <c r="W63" s="97"/>
      <c r="X63" s="97"/>
    </row>
    <row r="64" spans="1:24" ht="14.55" hidden="1" customHeight="1" x14ac:dyDescent="0.3">
      <c r="A64" s="97"/>
      <c r="B64" s="97"/>
      <c r="C64" s="101"/>
      <c r="D64" s="101"/>
      <c r="E64" s="101"/>
      <c r="F64" s="484"/>
      <c r="G64" s="173"/>
      <c r="H64" s="173"/>
      <c r="I64" s="173"/>
      <c r="J64" s="173"/>
      <c r="K64" s="97"/>
      <c r="L64" s="97"/>
      <c r="M64" s="97"/>
      <c r="N64" s="97"/>
      <c r="O64" s="97"/>
      <c r="P64" s="97"/>
      <c r="Q64" s="97"/>
      <c r="R64" s="97"/>
      <c r="S64" s="97"/>
      <c r="T64" s="97"/>
      <c r="U64" s="97"/>
      <c r="V64" s="97"/>
      <c r="W64" s="97"/>
      <c r="X64" s="97"/>
    </row>
    <row r="65" spans="1:24" ht="14.55" hidden="1" customHeight="1" x14ac:dyDescent="0.3">
      <c r="A65" s="97"/>
      <c r="B65" s="975" t="s">
        <v>295</v>
      </c>
      <c r="C65" s="201">
        <v>26000</v>
      </c>
      <c r="D65" s="101"/>
      <c r="E65" s="101"/>
      <c r="F65" s="484"/>
      <c r="G65" s="173"/>
      <c r="H65" s="173"/>
      <c r="I65" s="173"/>
      <c r="J65" s="173"/>
      <c r="K65" s="97"/>
      <c r="L65" s="97"/>
      <c r="M65" s="97"/>
      <c r="N65" s="97"/>
      <c r="O65" s="97"/>
      <c r="P65" s="97"/>
      <c r="Q65" s="97"/>
      <c r="R65" s="97"/>
      <c r="S65" s="97"/>
      <c r="T65" s="97"/>
      <c r="U65" s="97"/>
      <c r="V65" s="97"/>
      <c r="W65" s="97"/>
      <c r="X65" s="97"/>
    </row>
    <row r="66" spans="1:24" ht="14.55" hidden="1" customHeight="1" x14ac:dyDescent="0.3">
      <c r="A66" s="97"/>
      <c r="B66" s="975"/>
      <c r="C66" s="200"/>
      <c r="D66" s="97"/>
      <c r="E66" s="97"/>
      <c r="F66" s="484"/>
      <c r="G66" s="173"/>
      <c r="H66" s="173"/>
      <c r="I66" s="173"/>
      <c r="J66" s="173"/>
      <c r="K66" s="97"/>
      <c r="L66" s="97"/>
      <c r="M66" s="97"/>
      <c r="N66" s="97"/>
      <c r="O66" s="97"/>
      <c r="P66" s="97"/>
      <c r="Q66" s="97"/>
      <c r="R66" s="97"/>
      <c r="S66" s="97"/>
      <c r="T66" s="97"/>
      <c r="U66" s="97"/>
      <c r="V66" s="97"/>
      <c r="W66" s="97"/>
      <c r="X66" s="97"/>
    </row>
    <row r="67" spans="1:24" ht="14.55" hidden="1" customHeight="1" x14ac:dyDescent="0.3">
      <c r="A67" s="97"/>
      <c r="B67" s="976"/>
      <c r="C67" s="97"/>
      <c r="D67" s="97"/>
      <c r="E67" s="97"/>
      <c r="F67" s="484"/>
      <c r="G67" s="173"/>
      <c r="H67" s="173"/>
      <c r="I67" s="173"/>
      <c r="J67" s="173"/>
      <c r="K67" s="97"/>
      <c r="L67" s="97"/>
      <c r="M67" s="97"/>
      <c r="N67" s="97"/>
      <c r="O67" s="97"/>
      <c r="P67" s="97"/>
      <c r="Q67" s="97"/>
      <c r="R67" s="97"/>
      <c r="S67" s="97"/>
      <c r="T67" s="97"/>
      <c r="U67" s="97"/>
      <c r="V67" s="97"/>
      <c r="W67" s="97"/>
      <c r="X67" s="97"/>
    </row>
    <row r="68" spans="1:24" ht="14.55" hidden="1" customHeight="1" x14ac:dyDescent="0.3">
      <c r="A68" s="97"/>
      <c r="B68" s="976"/>
      <c r="C68" s="97"/>
      <c r="D68" s="97"/>
      <c r="E68" s="97"/>
      <c r="F68" s="484"/>
      <c r="G68" s="173"/>
      <c r="H68" s="173"/>
      <c r="I68" s="173"/>
      <c r="J68" s="173"/>
      <c r="K68" s="97"/>
      <c r="L68" s="97"/>
      <c r="M68" s="97"/>
      <c r="N68" s="97"/>
      <c r="O68" s="97"/>
      <c r="P68" s="97"/>
      <c r="Q68" s="97"/>
      <c r="R68" s="97"/>
      <c r="S68" s="97"/>
      <c r="T68" s="97"/>
      <c r="U68" s="97"/>
      <c r="V68" s="97"/>
      <c r="W68" s="97"/>
      <c r="X68" s="97"/>
    </row>
    <row r="69" spans="1:24" ht="14.55" hidden="1" customHeight="1" x14ac:dyDescent="0.3">
      <c r="A69" s="97"/>
      <c r="B69" s="97"/>
      <c r="C69" s="97"/>
      <c r="D69" s="97"/>
      <c r="E69" s="97"/>
      <c r="F69" s="484"/>
      <c r="G69" s="173"/>
      <c r="H69" s="173"/>
      <c r="I69" s="173"/>
      <c r="J69" s="173"/>
      <c r="K69" s="97"/>
      <c r="L69" s="97"/>
      <c r="M69" s="97"/>
      <c r="N69" s="97"/>
      <c r="O69" s="97"/>
      <c r="P69" s="97"/>
      <c r="Q69" s="97"/>
      <c r="R69" s="97"/>
      <c r="S69" s="97"/>
      <c r="T69" s="97"/>
      <c r="U69" s="97"/>
      <c r="V69" s="97"/>
      <c r="W69" s="97"/>
      <c r="X69" s="97"/>
    </row>
    <row r="70" spans="1:24" ht="14.55" hidden="1" customHeight="1" x14ac:dyDescent="0.3">
      <c r="A70" s="97"/>
      <c r="B70" s="97"/>
      <c r="C70" s="97"/>
      <c r="D70" s="97"/>
      <c r="E70" s="97"/>
      <c r="F70" s="484"/>
      <c r="G70" s="173"/>
      <c r="H70" s="173"/>
      <c r="I70" s="173"/>
      <c r="J70" s="173"/>
      <c r="K70" s="97"/>
      <c r="L70" s="97"/>
      <c r="M70" s="97"/>
      <c r="N70" s="97"/>
      <c r="O70" s="97"/>
      <c r="P70" s="97"/>
      <c r="Q70" s="97"/>
      <c r="R70" s="97"/>
      <c r="S70" s="97"/>
      <c r="T70" s="97"/>
      <c r="U70" s="97"/>
      <c r="V70" s="97"/>
      <c r="W70" s="97"/>
      <c r="X70" s="97"/>
    </row>
    <row r="71" spans="1:24" ht="14.55" hidden="1" customHeight="1" x14ac:dyDescent="0.3"/>
    <row r="72" spans="1:24" ht="14.55" hidden="1" customHeight="1" x14ac:dyDescent="0.3"/>
    <row r="73" spans="1:24" ht="14.55" hidden="1" customHeight="1" x14ac:dyDescent="0.3"/>
    <row r="74" spans="1:24" ht="14.55" hidden="1" customHeight="1" x14ac:dyDescent="0.3"/>
  </sheetData>
  <sheetProtection algorithmName="SHA-512" hashValue="CPWHtAMF7SpnvrSWv0Sibkx3QVUJmsj+Ii7g8fJDF6Cc3cwRYHkCPqCssri2ubNlRlpAjOubpKNTS7vGtFyCeQ==" saltValue="zAp2uNto8KEFoOhQkgDSfg==" spinCount="100000" sheet="1" objects="1"/>
  <mergeCells count="24">
    <mergeCell ref="B2:C2"/>
    <mergeCell ref="D2:E2"/>
    <mergeCell ref="B3:C3"/>
    <mergeCell ref="D3:E3"/>
    <mergeCell ref="H3:O3"/>
    <mergeCell ref="B5:C5"/>
    <mergeCell ref="D5:E5"/>
    <mergeCell ref="B7:C7"/>
    <mergeCell ref="D7:E7"/>
    <mergeCell ref="B9:C9"/>
    <mergeCell ref="D9:E9"/>
    <mergeCell ref="D10:E10"/>
    <mergeCell ref="B11:B13"/>
    <mergeCell ref="B15:B17"/>
    <mergeCell ref="B19:B21"/>
    <mergeCell ref="B23:B25"/>
    <mergeCell ref="B65:B66"/>
    <mergeCell ref="B67:B68"/>
    <mergeCell ref="B27:C27"/>
    <mergeCell ref="D27:E27"/>
    <mergeCell ref="B28:C28"/>
    <mergeCell ref="D28:E28"/>
    <mergeCell ref="B29:C29"/>
    <mergeCell ref="D29:E29"/>
  </mergeCells>
  <conditionalFormatting sqref="C36:D38">
    <cfRule type="cellIs" dxfId="33" priority="20" operator="equal">
      <formula>"Error - Enter required % on start page"</formula>
    </cfRule>
    <cfRule type="cellIs" dxfId="32" priority="21" operator="equal">
      <formula>"Error"</formula>
    </cfRule>
    <cfRule type="cellIs" dxfId="31" priority="22" operator="lessThan">
      <formula>0</formula>
    </cfRule>
  </conditionalFormatting>
  <conditionalFormatting sqref="D5">
    <cfRule type="cellIs" dxfId="30" priority="33" operator="equal">
      <formula>"BNG Targets Met ✓"</formula>
    </cfRule>
    <cfRule type="cellIs" dxfId="29" priority="32" operator="equal">
      <formula>"BNG Targets Not Met ▲"</formula>
    </cfRule>
  </conditionalFormatting>
  <conditionalFormatting sqref="D7 G7:H7">
    <cfRule type="cellIs" dxfId="28" priority="19" operator="equal">
      <formula>"Trading Rules Satisfied ✓"</formula>
    </cfRule>
    <cfRule type="cellIs" dxfId="27" priority="18" operator="equal">
      <formula>"Trading Rules Not Satisfied ▲"</formula>
    </cfRule>
  </conditionalFormatting>
  <conditionalFormatting sqref="D9">
    <cfRule type="cellIs" dxfId="26" priority="29" operator="equal">
      <formula>"BNG Tragets Not Met ▲"</formula>
    </cfRule>
    <cfRule type="cellIs" dxfId="25" priority="30" operator="equal">
      <formula>"BNG Targets Met ✓"</formula>
    </cfRule>
  </conditionalFormatting>
  <conditionalFormatting sqref="D19">
    <cfRule type="cellIs" dxfId="24" priority="11" operator="greaterThanOrEqual">
      <formula>$F$11</formula>
    </cfRule>
    <cfRule type="cellIs" dxfId="23" priority="14" operator="between">
      <formula>0</formula>
      <formula>$F$11</formula>
    </cfRule>
  </conditionalFormatting>
  <conditionalFormatting sqref="D20">
    <cfRule type="cellIs" dxfId="22" priority="10" operator="greaterThanOrEqual">
      <formula>$F$12</formula>
    </cfRule>
    <cfRule type="cellIs" dxfId="21" priority="13" operator="between">
      <formula>0</formula>
      <formula>$F$12</formula>
    </cfRule>
  </conditionalFormatting>
  <conditionalFormatting sqref="D21">
    <cfRule type="cellIs" dxfId="20" priority="9" operator="greaterThanOrEqual">
      <formula>$F$13</formula>
    </cfRule>
    <cfRule type="cellIs" dxfId="19" priority="12" operator="between">
      <formula>0</formula>
      <formula>$F$13</formula>
    </cfRule>
  </conditionalFormatting>
  <conditionalFormatting sqref="D23">
    <cfRule type="cellIs" dxfId="18" priority="6" operator="between">
      <formula>$F$19</formula>
      <formula>0</formula>
    </cfRule>
    <cfRule type="cellIs" dxfId="17" priority="7" operator="greaterThanOrEqual">
      <formula>$F$19</formula>
    </cfRule>
  </conditionalFormatting>
  <conditionalFormatting sqref="D23:D25">
    <cfRule type="cellIs" dxfId="16" priority="28" operator="equal">
      <formula>"% target not appropriate"</formula>
    </cfRule>
    <cfRule type="cellIs" dxfId="15" priority="31" operator="lessThan">
      <formula>0</formula>
    </cfRule>
  </conditionalFormatting>
  <conditionalFormatting sqref="D24">
    <cfRule type="cellIs" dxfId="14" priority="4" operator="between">
      <formula>$F$20</formula>
      <formula>0</formula>
    </cfRule>
    <cfRule type="cellIs" dxfId="13" priority="5" operator="greaterThanOrEqual">
      <formula>$F$20</formula>
    </cfRule>
  </conditionalFormatting>
  <conditionalFormatting sqref="D25">
    <cfRule type="cellIs" dxfId="12" priority="2" operator="between">
      <formula>$F$21</formula>
      <formula>0</formula>
    </cfRule>
    <cfRule type="cellIs" dxfId="11" priority="3" operator="greaterThanOrEqual">
      <formula>$F$21</formula>
    </cfRule>
  </conditionalFormatting>
  <conditionalFormatting sqref="D9:E9">
    <cfRule type="containsText" dxfId="10" priority="1" operator="containsText" text="⚠">
      <formula>NOT(ISERROR(SEARCH("⚠",D9)))</formula>
    </cfRule>
  </conditionalFormatting>
  <conditionalFormatting sqref="D19:E21">
    <cfRule type="cellIs" dxfId="9" priority="26" operator="lessThan">
      <formula>0</formula>
    </cfRule>
    <cfRule type="cellIs" dxfId="8" priority="27" operator="equal">
      <formula>0</formula>
    </cfRule>
    <cfRule type="cellIs" dxfId="7" priority="15" operator="equal">
      <formula>"Error ▲"</formula>
    </cfRule>
  </conditionalFormatting>
  <conditionalFormatting sqref="E19:E25">
    <cfRule type="containsText" dxfId="6" priority="8" operator="containsText" text="⚠">
      <formula>NOT(ISERROR(SEARCH("⚠",E19)))</formula>
    </cfRule>
    <cfRule type="containsText" dxfId="5" priority="16" operator="containsText" text="✓">
      <formula>NOT(ISERROR(SEARCH("✓",E19)))</formula>
    </cfRule>
    <cfRule type="containsText" dxfId="4" priority="17" operator="containsText" text="▲">
      <formula>NOT(ISERROR(SEARCH("▲",E19)))</formula>
    </cfRule>
  </conditionalFormatting>
  <conditionalFormatting sqref="E23:E25">
    <cfRule type="expression" dxfId="3" priority="25">
      <formula>$F23&lt;0</formula>
    </cfRule>
    <cfRule type="containsBlanks" dxfId="2" priority="23">
      <formula>LEN(TRIM(E23))=0</formula>
    </cfRule>
    <cfRule type="expression" dxfId="1" priority="24">
      <formula>$F23&gt;=0</formula>
    </cfRule>
  </conditionalFormatting>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03449-10CE-43A3-A07F-9DA593EC1650}">
  <sheetPr codeName="Sheet10">
    <tabColor rgb="FF005E5C"/>
    <pageSetUpPr fitToPage="1"/>
  </sheetPr>
  <dimension ref="A1:Y110"/>
  <sheetViews>
    <sheetView zoomScale="80" zoomScaleNormal="80" workbookViewId="0">
      <pane xSplit="1" ySplit="3" topLeftCell="B4" activePane="bottomRight" state="frozenSplit"/>
      <selection activeCell="B1" sqref="B1"/>
      <selection pane="topRight"/>
      <selection pane="bottomLeft"/>
      <selection pane="bottomRight" activeCell="B1" sqref="B1"/>
    </sheetView>
  </sheetViews>
  <sheetFormatPr defaultColWidth="0" defaultRowHeight="14.4" zeroHeight="1" x14ac:dyDescent="0.3"/>
  <cols>
    <col min="1" max="2" width="8.77734375" customWidth="1"/>
    <col min="3" max="3" width="78.44140625" bestFit="1" customWidth="1"/>
    <col min="4" max="4" width="28.44140625" style="90" customWidth="1"/>
    <col min="5" max="5" width="14.44140625" hidden="1" customWidth="1"/>
    <col min="6" max="6" width="18.44140625" hidden="1" customWidth="1"/>
    <col min="7" max="7" width="15.77734375" style="90" customWidth="1"/>
    <col min="8" max="8" width="34.44140625" style="92" customWidth="1"/>
    <col min="9" max="9" width="13" customWidth="1"/>
    <col min="10" max="10" width="12.77734375" bestFit="1" customWidth="1"/>
    <col min="11" max="11" width="23.77734375" hidden="1" customWidth="1"/>
    <col min="12" max="25" width="8.77734375" customWidth="1"/>
    <col min="26" max="26" width="8.77734375" hidden="1" customWidth="1"/>
    <col min="27" max="16384" width="8.77734375" hidden="1"/>
  </cols>
  <sheetData>
    <row r="1" spans="1:25" ht="26.25" customHeight="1" x14ac:dyDescent="0.3">
      <c r="A1" s="97"/>
      <c r="B1" s="1002" t="s">
        <v>296</v>
      </c>
      <c r="C1" s="1003"/>
      <c r="D1" s="1003"/>
      <c r="E1" s="1003"/>
      <c r="F1" s="1003"/>
      <c r="G1" s="1003"/>
      <c r="H1" s="1003"/>
      <c r="I1" s="1003"/>
      <c r="J1" s="1004"/>
      <c r="K1" s="249">
        <v>9</v>
      </c>
      <c r="L1" s="97"/>
      <c r="M1" s="97"/>
      <c r="N1" s="97"/>
      <c r="O1" s="97"/>
      <c r="P1" s="97"/>
      <c r="Q1" s="97"/>
      <c r="R1" s="97"/>
      <c r="S1" s="97"/>
      <c r="T1" s="97"/>
      <c r="U1" s="97"/>
      <c r="V1" s="97"/>
      <c r="W1" s="97"/>
      <c r="X1" s="97"/>
      <c r="Y1" s="97"/>
    </row>
    <row r="2" spans="1:25" ht="18" customHeight="1" x14ac:dyDescent="0.35">
      <c r="A2" s="97"/>
      <c r="B2" s="1005" t="s">
        <v>59</v>
      </c>
      <c r="C2" s="1007" t="s">
        <v>269</v>
      </c>
      <c r="D2" s="1007"/>
      <c r="E2" s="1007"/>
      <c r="F2" s="1007"/>
      <c r="G2" s="1008" t="s">
        <v>96</v>
      </c>
      <c r="H2" s="1008"/>
      <c r="I2" s="1009" t="s">
        <v>297</v>
      </c>
      <c r="J2" s="1009"/>
      <c r="K2" s="174" t="s">
        <v>298</v>
      </c>
      <c r="L2" s="97"/>
      <c r="M2" s="97"/>
      <c r="N2" s="97"/>
      <c r="O2" s="97"/>
      <c r="P2" s="97"/>
      <c r="Q2" s="97"/>
      <c r="R2" s="97"/>
      <c r="S2" s="97"/>
      <c r="T2" s="97"/>
      <c r="U2" s="97"/>
      <c r="V2" s="97"/>
      <c r="W2" s="97"/>
      <c r="X2" s="97"/>
      <c r="Y2" s="97"/>
    </row>
    <row r="3" spans="1:25" ht="43.2" customHeight="1" x14ac:dyDescent="0.3">
      <c r="A3" s="97"/>
      <c r="B3" s="1006"/>
      <c r="C3" s="11" t="s">
        <v>269</v>
      </c>
      <c r="D3" s="11" t="s">
        <v>299</v>
      </c>
      <c r="E3" s="11" t="s">
        <v>300</v>
      </c>
      <c r="F3" s="11" t="s">
        <v>301</v>
      </c>
      <c r="G3" s="298" t="s">
        <v>302</v>
      </c>
      <c r="H3" s="298" t="s">
        <v>303</v>
      </c>
      <c r="I3" s="124" t="s">
        <v>304</v>
      </c>
      <c r="J3" s="124" t="s">
        <v>305</v>
      </c>
      <c r="K3" s="175" t="s">
        <v>306</v>
      </c>
      <c r="L3" s="97"/>
      <c r="M3" s="97"/>
      <c r="N3" s="97"/>
      <c r="O3" s="97"/>
      <c r="P3" s="97"/>
      <c r="Q3" s="97"/>
      <c r="R3" s="97"/>
      <c r="S3" s="97"/>
      <c r="T3" s="97"/>
      <c r="U3" s="97"/>
      <c r="V3" s="97"/>
      <c r="W3" s="97"/>
      <c r="X3" s="97"/>
      <c r="Y3" s="97"/>
    </row>
    <row r="4" spans="1:25" ht="28.8" customHeight="1" x14ac:dyDescent="0.3">
      <c r="A4" s="97"/>
      <c r="B4" s="4">
        <v>1</v>
      </c>
      <c r="C4" s="4" t="s">
        <v>307</v>
      </c>
      <c r="D4" s="4" t="s">
        <v>213</v>
      </c>
      <c r="E4" s="4"/>
      <c r="F4" s="4"/>
      <c r="G4" s="82" t="s">
        <v>216</v>
      </c>
      <c r="H4" s="82" t="s">
        <v>308</v>
      </c>
      <c r="I4" s="82" t="s">
        <v>214</v>
      </c>
      <c r="J4" s="82" t="s">
        <v>214</v>
      </c>
      <c r="K4" s="4" t="s">
        <v>214</v>
      </c>
      <c r="L4" s="97"/>
      <c r="M4" s="97"/>
      <c r="N4" s="97"/>
      <c r="O4" s="97"/>
      <c r="P4" s="97"/>
      <c r="Q4" s="97"/>
      <c r="R4" s="97"/>
      <c r="S4" s="97"/>
      <c r="T4" s="97"/>
      <c r="U4" s="97"/>
      <c r="V4" s="97"/>
      <c r="W4" s="97"/>
      <c r="X4" s="97"/>
      <c r="Y4" s="97"/>
    </row>
    <row r="5" spans="1:25" ht="28.8" customHeight="1" x14ac:dyDescent="0.3">
      <c r="A5" s="97"/>
      <c r="B5" s="4">
        <v>2</v>
      </c>
      <c r="C5" s="4" t="s">
        <v>309</v>
      </c>
      <c r="D5" s="4" t="s">
        <v>213</v>
      </c>
      <c r="E5" s="4"/>
      <c r="F5" s="4"/>
      <c r="G5" s="82" t="s">
        <v>216</v>
      </c>
      <c r="H5" s="82" t="s">
        <v>308</v>
      </c>
      <c r="I5" s="82" t="s">
        <v>214</v>
      </c>
      <c r="J5" s="82" t="s">
        <v>214</v>
      </c>
      <c r="K5" s="4" t="s">
        <v>214</v>
      </c>
      <c r="L5" s="97"/>
      <c r="M5" s="97"/>
      <c r="N5" s="97"/>
      <c r="O5" s="97"/>
      <c r="P5" s="97"/>
      <c r="Q5" s="97"/>
      <c r="R5" s="97"/>
      <c r="S5" s="97"/>
      <c r="T5" s="97"/>
      <c r="U5" s="97"/>
      <c r="V5" s="97"/>
      <c r="W5" s="97"/>
      <c r="X5" s="97"/>
      <c r="Y5" s="97"/>
    </row>
    <row r="6" spans="1:25" ht="28.8" customHeight="1" x14ac:dyDescent="0.3">
      <c r="A6" s="97"/>
      <c r="B6" s="4">
        <v>3</v>
      </c>
      <c r="C6" s="4" t="s">
        <v>310</v>
      </c>
      <c r="D6" s="4" t="s">
        <v>213</v>
      </c>
      <c r="E6" s="4"/>
      <c r="F6" s="4"/>
      <c r="G6" s="82" t="s">
        <v>216</v>
      </c>
      <c r="H6" s="82" t="s">
        <v>308</v>
      </c>
      <c r="I6" s="82" t="s">
        <v>214</v>
      </c>
      <c r="J6" s="82" t="s">
        <v>214</v>
      </c>
      <c r="K6" s="4" t="s">
        <v>214</v>
      </c>
      <c r="L6" s="97"/>
      <c r="M6" s="97"/>
      <c r="N6" s="97"/>
      <c r="O6" s="97"/>
      <c r="P6" s="97"/>
      <c r="Q6" s="97"/>
      <c r="R6" s="97"/>
      <c r="S6" s="97"/>
      <c r="T6" s="97"/>
      <c r="U6" s="97"/>
      <c r="V6" s="97"/>
      <c r="W6" s="97"/>
      <c r="X6" s="97"/>
      <c r="Y6" s="97"/>
    </row>
    <row r="7" spans="1:25" ht="28.8" customHeight="1" x14ac:dyDescent="0.3">
      <c r="A7" s="97"/>
      <c r="B7" s="4">
        <v>4</v>
      </c>
      <c r="C7" s="4" t="s">
        <v>311</v>
      </c>
      <c r="D7" s="4" t="s">
        <v>213</v>
      </c>
      <c r="E7" s="4"/>
      <c r="F7" s="4"/>
      <c r="G7" s="82" t="s">
        <v>216</v>
      </c>
      <c r="H7" s="82" t="s">
        <v>308</v>
      </c>
      <c r="I7" s="82" t="s">
        <v>214</v>
      </c>
      <c r="J7" s="82" t="s">
        <v>214</v>
      </c>
      <c r="K7" s="4" t="s">
        <v>214</v>
      </c>
      <c r="L7" s="97"/>
      <c r="M7" s="97"/>
      <c r="N7" s="97"/>
      <c r="O7" s="97"/>
      <c r="P7" s="97"/>
      <c r="Q7" s="97"/>
      <c r="R7" s="97"/>
      <c r="S7" s="97"/>
      <c r="T7" s="97"/>
      <c r="U7" s="97"/>
      <c r="V7" s="97"/>
      <c r="W7" s="97"/>
      <c r="X7" s="97"/>
      <c r="Y7" s="97"/>
    </row>
    <row r="8" spans="1:25" ht="28.8" customHeight="1" x14ac:dyDescent="0.3">
      <c r="A8" s="97"/>
      <c r="B8" s="4">
        <v>5</v>
      </c>
      <c r="C8" s="4" t="s">
        <v>312</v>
      </c>
      <c r="D8" s="4" t="s">
        <v>213</v>
      </c>
      <c r="E8" s="4"/>
      <c r="F8" s="4"/>
      <c r="G8" s="82" t="s">
        <v>214</v>
      </c>
      <c r="H8" s="82" t="s">
        <v>313</v>
      </c>
      <c r="I8" s="82" t="s">
        <v>214</v>
      </c>
      <c r="J8" s="82" t="s">
        <v>214</v>
      </c>
      <c r="K8" s="4" t="s">
        <v>214</v>
      </c>
      <c r="L8" s="97"/>
      <c r="M8" s="97"/>
      <c r="N8" s="97"/>
      <c r="O8" s="97"/>
      <c r="P8" s="97"/>
      <c r="Q8" s="97"/>
      <c r="R8" s="97"/>
      <c r="S8" s="97"/>
      <c r="T8" s="97"/>
      <c r="U8" s="97"/>
      <c r="V8" s="97"/>
      <c r="W8" s="97"/>
      <c r="X8" s="97"/>
      <c r="Y8" s="97"/>
    </row>
    <row r="9" spans="1:25" ht="28.8" customHeight="1" x14ac:dyDescent="0.3">
      <c r="A9" s="97"/>
      <c r="B9" s="4">
        <f t="shared" ref="B9:B40" si="0">B8+1</f>
        <v>6</v>
      </c>
      <c r="C9" s="4" t="s">
        <v>314</v>
      </c>
      <c r="D9" s="4" t="s">
        <v>213</v>
      </c>
      <c r="E9" s="4"/>
      <c r="F9" s="4"/>
      <c r="G9" s="82" t="s">
        <v>214</v>
      </c>
      <c r="H9" s="82" t="s">
        <v>313</v>
      </c>
      <c r="I9" s="82" t="s">
        <v>214</v>
      </c>
      <c r="J9" s="82" t="s">
        <v>214</v>
      </c>
      <c r="K9" s="4" t="s">
        <v>214</v>
      </c>
      <c r="L9" s="97"/>
      <c r="M9" s="97"/>
      <c r="N9" s="97"/>
      <c r="O9" s="97"/>
      <c r="P9" s="97"/>
      <c r="Q9" s="97"/>
      <c r="R9" s="97"/>
      <c r="S9" s="97"/>
      <c r="T9" s="97"/>
      <c r="U9" s="97"/>
      <c r="V9" s="97"/>
      <c r="W9" s="97"/>
      <c r="X9" s="97"/>
      <c r="Y9" s="97"/>
    </row>
    <row r="10" spans="1:25" ht="28.8" customHeight="1" x14ac:dyDescent="0.3">
      <c r="A10" s="97"/>
      <c r="B10" s="4">
        <f t="shared" si="0"/>
        <v>7</v>
      </c>
      <c r="C10" s="4" t="s">
        <v>315</v>
      </c>
      <c r="D10" s="4" t="s">
        <v>213</v>
      </c>
      <c r="E10" s="4"/>
      <c r="F10" s="4"/>
      <c r="G10" s="82" t="s">
        <v>214</v>
      </c>
      <c r="H10" s="82" t="s">
        <v>313</v>
      </c>
      <c r="I10" s="82" t="s">
        <v>214</v>
      </c>
      <c r="J10" s="82" t="s">
        <v>214</v>
      </c>
      <c r="K10" s="4" t="s">
        <v>214</v>
      </c>
      <c r="L10" s="97"/>
      <c r="M10" s="97"/>
      <c r="N10" s="97"/>
      <c r="O10" s="97"/>
      <c r="P10" s="97"/>
      <c r="Q10" s="97"/>
      <c r="R10" s="97"/>
      <c r="S10" s="97"/>
      <c r="T10" s="97"/>
      <c r="U10" s="97"/>
      <c r="V10" s="97"/>
      <c r="W10" s="97"/>
      <c r="X10" s="97"/>
      <c r="Y10" s="97"/>
    </row>
    <row r="11" spans="1:25" ht="28.8" customHeight="1" x14ac:dyDescent="0.3">
      <c r="A11" s="97"/>
      <c r="B11" s="4">
        <f t="shared" si="0"/>
        <v>8</v>
      </c>
      <c r="C11" s="4" t="s">
        <v>316</v>
      </c>
      <c r="D11" s="4" t="s">
        <v>213</v>
      </c>
      <c r="E11" s="4"/>
      <c r="F11" s="4"/>
      <c r="G11" s="82" t="s">
        <v>214</v>
      </c>
      <c r="H11" s="82" t="s">
        <v>313</v>
      </c>
      <c r="I11" s="82" t="s">
        <v>214</v>
      </c>
      <c r="J11" s="82" t="s">
        <v>214</v>
      </c>
      <c r="K11" s="4" t="s">
        <v>214</v>
      </c>
      <c r="L11" s="97"/>
      <c r="M11" s="97"/>
      <c r="N11" s="97"/>
      <c r="O11" s="97"/>
      <c r="P11" s="97"/>
      <c r="Q11" s="97"/>
      <c r="R11" s="97"/>
      <c r="S11" s="97"/>
      <c r="T11" s="97"/>
      <c r="U11" s="97"/>
      <c r="V11" s="97"/>
      <c r="W11" s="97"/>
      <c r="X11" s="97"/>
      <c r="Y11" s="97"/>
    </row>
    <row r="12" spans="1:25" ht="28.8" customHeight="1" x14ac:dyDescent="0.3">
      <c r="A12" s="97"/>
      <c r="B12" s="4">
        <f t="shared" si="0"/>
        <v>9</v>
      </c>
      <c r="C12" s="4" t="s">
        <v>317</v>
      </c>
      <c r="D12" s="4" t="s">
        <v>213</v>
      </c>
      <c r="E12" s="4"/>
      <c r="F12" s="4"/>
      <c r="G12" s="82" t="s">
        <v>214</v>
      </c>
      <c r="H12" s="82" t="s">
        <v>313</v>
      </c>
      <c r="I12" s="82" t="s">
        <v>214</v>
      </c>
      <c r="J12" s="82" t="s">
        <v>214</v>
      </c>
      <c r="K12" s="4" t="s">
        <v>214</v>
      </c>
      <c r="L12" s="97"/>
      <c r="M12" s="97"/>
      <c r="N12" s="97"/>
      <c r="O12" s="97"/>
      <c r="P12" s="97"/>
      <c r="Q12" s="97"/>
      <c r="R12" s="97"/>
      <c r="S12" s="97"/>
      <c r="T12" s="97"/>
      <c r="U12" s="97"/>
      <c r="V12" s="97"/>
      <c r="W12" s="97"/>
      <c r="X12" s="97"/>
      <c r="Y12" s="97"/>
    </row>
    <row r="13" spans="1:25" ht="28.8" customHeight="1" x14ac:dyDescent="0.3">
      <c r="A13" s="97"/>
      <c r="B13" s="4">
        <f t="shared" si="0"/>
        <v>10</v>
      </c>
      <c r="C13" s="4" t="s">
        <v>318</v>
      </c>
      <c r="D13" s="4" t="s">
        <v>213</v>
      </c>
      <c r="E13" s="4"/>
      <c r="F13" s="4"/>
      <c r="G13" s="82" t="s">
        <v>214</v>
      </c>
      <c r="H13" s="82" t="s">
        <v>313</v>
      </c>
      <c r="I13" s="82" t="s">
        <v>214</v>
      </c>
      <c r="J13" s="82" t="s">
        <v>214</v>
      </c>
      <c r="K13" s="4" t="s">
        <v>214</v>
      </c>
      <c r="L13" s="97"/>
      <c r="M13" s="97"/>
      <c r="N13" s="97"/>
      <c r="O13" s="97"/>
      <c r="P13" s="97"/>
      <c r="Q13" s="97"/>
      <c r="R13" s="97"/>
      <c r="S13" s="97"/>
      <c r="T13" s="97"/>
      <c r="U13" s="97"/>
      <c r="V13" s="97"/>
      <c r="W13" s="97"/>
      <c r="X13" s="97"/>
      <c r="Y13" s="97"/>
    </row>
    <row r="14" spans="1:25" ht="28.8" customHeight="1" x14ac:dyDescent="0.3">
      <c r="A14" s="97"/>
      <c r="B14" s="4">
        <f t="shared" si="0"/>
        <v>11</v>
      </c>
      <c r="C14" s="4" t="s">
        <v>319</v>
      </c>
      <c r="D14" s="4" t="s">
        <v>217</v>
      </c>
      <c r="E14" s="4"/>
      <c r="F14" s="4"/>
      <c r="G14" s="82" t="s">
        <v>214</v>
      </c>
      <c r="H14" s="82" t="s">
        <v>313</v>
      </c>
      <c r="I14" s="82" t="s">
        <v>214</v>
      </c>
      <c r="J14" s="82" t="s">
        <v>214</v>
      </c>
      <c r="K14" s="4" t="s">
        <v>214</v>
      </c>
      <c r="L14" s="97"/>
      <c r="M14" s="97"/>
      <c r="N14" s="97"/>
      <c r="O14" s="97"/>
      <c r="P14" s="97"/>
      <c r="Q14" s="97"/>
      <c r="R14" s="97"/>
      <c r="S14" s="97"/>
      <c r="T14" s="97"/>
      <c r="U14" s="97"/>
      <c r="V14" s="97"/>
      <c r="W14" s="97"/>
      <c r="X14" s="97"/>
      <c r="Y14" s="97"/>
    </row>
    <row r="15" spans="1:25" ht="28.8" customHeight="1" x14ac:dyDescent="0.3">
      <c r="A15" s="97"/>
      <c r="B15" s="4">
        <f t="shared" si="0"/>
        <v>12</v>
      </c>
      <c r="C15" s="4" t="s">
        <v>320</v>
      </c>
      <c r="D15" s="4" t="s">
        <v>217</v>
      </c>
      <c r="E15" s="4"/>
      <c r="F15" s="4"/>
      <c r="G15" s="82" t="s">
        <v>214</v>
      </c>
      <c r="H15" s="82" t="s">
        <v>313</v>
      </c>
      <c r="I15" s="82" t="s">
        <v>214</v>
      </c>
      <c r="J15" s="82" t="s">
        <v>214</v>
      </c>
      <c r="K15" s="4" t="s">
        <v>214</v>
      </c>
      <c r="L15" s="97"/>
      <c r="M15" s="97"/>
      <c r="N15" s="97"/>
      <c r="O15" s="97"/>
      <c r="P15" s="97"/>
      <c r="Q15" s="97"/>
      <c r="R15" s="97"/>
      <c r="S15" s="97"/>
      <c r="T15" s="97"/>
      <c r="U15" s="97"/>
      <c r="V15" s="97"/>
      <c r="W15" s="97"/>
      <c r="X15" s="97"/>
      <c r="Y15" s="97"/>
    </row>
    <row r="16" spans="1:25" ht="28.8" customHeight="1" x14ac:dyDescent="0.3">
      <c r="A16" s="97"/>
      <c r="B16" s="4">
        <f t="shared" si="0"/>
        <v>13</v>
      </c>
      <c r="C16" s="4" t="s">
        <v>321</v>
      </c>
      <c r="D16" s="4" t="s">
        <v>217</v>
      </c>
      <c r="E16" s="4"/>
      <c r="F16" s="4"/>
      <c r="G16" s="82" t="s">
        <v>216</v>
      </c>
      <c r="H16" s="82" t="s">
        <v>308</v>
      </c>
      <c r="I16" s="82" t="s">
        <v>214</v>
      </c>
      <c r="J16" s="82" t="s">
        <v>214</v>
      </c>
      <c r="K16" s="4" t="s">
        <v>214</v>
      </c>
      <c r="L16" s="97"/>
      <c r="M16" s="97"/>
      <c r="N16" s="97"/>
      <c r="O16" s="97"/>
      <c r="P16" s="97"/>
      <c r="Q16" s="97"/>
      <c r="R16" s="97"/>
      <c r="S16" s="97"/>
      <c r="T16" s="97"/>
      <c r="U16" s="97"/>
      <c r="V16" s="97"/>
      <c r="W16" s="97"/>
      <c r="X16" s="97"/>
      <c r="Y16" s="97"/>
    </row>
    <row r="17" spans="1:25" ht="28.8" customHeight="1" x14ac:dyDescent="0.3">
      <c r="A17" s="97"/>
      <c r="B17" s="4">
        <f t="shared" si="0"/>
        <v>14</v>
      </c>
      <c r="C17" s="4" t="s">
        <v>322</v>
      </c>
      <c r="D17" s="4" t="s">
        <v>217</v>
      </c>
      <c r="E17" s="4"/>
      <c r="F17" s="4"/>
      <c r="G17" s="82" t="s">
        <v>216</v>
      </c>
      <c r="H17" s="82" t="s">
        <v>308</v>
      </c>
      <c r="I17" s="82" t="s">
        <v>214</v>
      </c>
      <c r="J17" s="82" t="s">
        <v>214</v>
      </c>
      <c r="K17" s="4" t="s">
        <v>214</v>
      </c>
      <c r="L17" s="97"/>
      <c r="M17" s="97"/>
      <c r="N17" s="97"/>
      <c r="O17" s="97"/>
      <c r="P17" s="97"/>
      <c r="Q17" s="97"/>
      <c r="R17" s="97"/>
      <c r="S17" s="97"/>
      <c r="T17" s="97"/>
      <c r="U17" s="97"/>
      <c r="V17" s="97"/>
      <c r="W17" s="97"/>
      <c r="X17" s="97"/>
      <c r="Y17" s="97"/>
    </row>
    <row r="18" spans="1:25" ht="28.8" customHeight="1" x14ac:dyDescent="0.3">
      <c r="A18" s="97"/>
      <c r="B18" s="4">
        <f t="shared" si="0"/>
        <v>15</v>
      </c>
      <c r="C18" s="4" t="s">
        <v>323</v>
      </c>
      <c r="D18" s="4" t="s">
        <v>217</v>
      </c>
      <c r="E18" s="4"/>
      <c r="F18" s="4"/>
      <c r="G18" s="82" t="s">
        <v>216</v>
      </c>
      <c r="H18" s="82" t="s">
        <v>308</v>
      </c>
      <c r="I18" s="82" t="s">
        <v>214</v>
      </c>
      <c r="J18" s="82" t="s">
        <v>214</v>
      </c>
      <c r="K18" s="4" t="s">
        <v>214</v>
      </c>
      <c r="L18" s="97"/>
      <c r="M18" s="97"/>
      <c r="N18" s="97"/>
      <c r="O18" s="97"/>
      <c r="P18" s="97"/>
      <c r="Q18" s="97"/>
      <c r="R18" s="97"/>
      <c r="S18" s="97"/>
      <c r="T18" s="97"/>
      <c r="U18" s="97"/>
      <c r="V18" s="97"/>
      <c r="W18" s="97"/>
      <c r="X18" s="97"/>
      <c r="Y18" s="97"/>
    </row>
    <row r="19" spans="1:25" ht="28.8" customHeight="1" x14ac:dyDescent="0.3">
      <c r="A19" s="97"/>
      <c r="B19" s="4">
        <f t="shared" si="0"/>
        <v>16</v>
      </c>
      <c r="C19" s="4" t="s">
        <v>324</v>
      </c>
      <c r="D19" s="4" t="s">
        <v>218</v>
      </c>
      <c r="E19" s="4"/>
      <c r="F19" s="4"/>
      <c r="G19" s="82" t="s">
        <v>216</v>
      </c>
      <c r="H19" s="82" t="s">
        <v>308</v>
      </c>
      <c r="I19" s="82" t="s">
        <v>214</v>
      </c>
      <c r="J19" s="82" t="s">
        <v>214</v>
      </c>
      <c r="K19" s="4" t="s">
        <v>214</v>
      </c>
      <c r="L19" s="97"/>
      <c r="M19" s="97"/>
      <c r="N19" s="97"/>
      <c r="O19" s="97"/>
      <c r="P19" s="97"/>
      <c r="Q19" s="97"/>
      <c r="R19" s="97"/>
      <c r="S19" s="97"/>
      <c r="T19" s="97"/>
      <c r="U19" s="97"/>
      <c r="V19" s="97"/>
      <c r="W19" s="97"/>
      <c r="X19" s="97"/>
      <c r="Y19" s="97"/>
    </row>
    <row r="20" spans="1:25" ht="28.8" customHeight="1" x14ac:dyDescent="0.3">
      <c r="A20" s="97"/>
      <c r="B20" s="4">
        <f t="shared" si="0"/>
        <v>17</v>
      </c>
      <c r="C20" s="4" t="s">
        <v>325</v>
      </c>
      <c r="D20" s="4" t="s">
        <v>218</v>
      </c>
      <c r="E20" s="4"/>
      <c r="F20" s="4"/>
      <c r="G20" s="82" t="s">
        <v>216</v>
      </c>
      <c r="H20" s="82" t="s">
        <v>308</v>
      </c>
      <c r="I20" s="82" t="s">
        <v>214</v>
      </c>
      <c r="J20" s="82" t="s">
        <v>214</v>
      </c>
      <c r="K20" s="4" t="s">
        <v>214</v>
      </c>
      <c r="L20" s="97"/>
      <c r="M20" s="97"/>
      <c r="N20" s="97"/>
      <c r="O20" s="97"/>
      <c r="P20" s="97"/>
      <c r="Q20" s="97"/>
      <c r="R20" s="97"/>
      <c r="S20" s="97"/>
      <c r="T20" s="97"/>
      <c r="U20" s="97"/>
      <c r="V20" s="97"/>
      <c r="W20" s="97"/>
      <c r="X20" s="97"/>
      <c r="Y20" s="97"/>
    </row>
    <row r="21" spans="1:25" ht="28.8" customHeight="1" x14ac:dyDescent="0.3">
      <c r="A21" s="97"/>
      <c r="B21" s="4">
        <f t="shared" si="0"/>
        <v>18</v>
      </c>
      <c r="C21" s="4" t="s">
        <v>326</v>
      </c>
      <c r="D21" s="4" t="s">
        <v>218</v>
      </c>
      <c r="E21" s="4"/>
      <c r="F21" s="4"/>
      <c r="G21" s="82" t="s">
        <v>216</v>
      </c>
      <c r="H21" s="82" t="s">
        <v>308</v>
      </c>
      <c r="I21" s="82" t="s">
        <v>214</v>
      </c>
      <c r="J21" s="82" t="s">
        <v>214</v>
      </c>
      <c r="K21" s="4" t="s">
        <v>214</v>
      </c>
      <c r="L21" s="97"/>
      <c r="M21" s="97"/>
      <c r="N21" s="97"/>
      <c r="O21" s="97"/>
      <c r="P21" s="97"/>
      <c r="Q21" s="97"/>
      <c r="R21" s="97"/>
      <c r="S21" s="97"/>
      <c r="T21" s="97"/>
      <c r="U21" s="97"/>
      <c r="V21" s="97"/>
      <c r="W21" s="97"/>
      <c r="X21" s="97"/>
      <c r="Y21" s="97"/>
    </row>
    <row r="22" spans="1:25" ht="28.8" customHeight="1" x14ac:dyDescent="0.3">
      <c r="A22" s="97"/>
      <c r="B22" s="4">
        <f t="shared" si="0"/>
        <v>19</v>
      </c>
      <c r="C22" s="4" t="s">
        <v>327</v>
      </c>
      <c r="D22" s="4" t="s">
        <v>218</v>
      </c>
      <c r="E22" s="4"/>
      <c r="F22" s="4"/>
      <c r="G22" s="82" t="s">
        <v>216</v>
      </c>
      <c r="H22" s="82" t="s">
        <v>308</v>
      </c>
      <c r="I22" s="82" t="s">
        <v>214</v>
      </c>
      <c r="J22" s="82" t="s">
        <v>214</v>
      </c>
      <c r="K22" s="4" t="s">
        <v>214</v>
      </c>
      <c r="L22" s="97"/>
      <c r="M22" s="97"/>
      <c r="N22" s="97"/>
      <c r="O22" s="97"/>
      <c r="P22" s="97"/>
      <c r="Q22" s="97"/>
      <c r="R22" s="97"/>
      <c r="S22" s="97"/>
      <c r="T22" s="97"/>
      <c r="U22" s="97"/>
      <c r="V22" s="97"/>
      <c r="W22" s="97"/>
      <c r="X22" s="97"/>
      <c r="Y22" s="97"/>
    </row>
    <row r="23" spans="1:25" ht="28.8" customHeight="1" x14ac:dyDescent="0.3">
      <c r="A23" s="97"/>
      <c r="B23" s="4">
        <f t="shared" si="0"/>
        <v>20</v>
      </c>
      <c r="C23" s="4" t="s">
        <v>328</v>
      </c>
      <c r="D23" s="4" t="s">
        <v>218</v>
      </c>
      <c r="E23" s="4"/>
      <c r="F23" s="4"/>
      <c r="G23" s="82" t="s">
        <v>216</v>
      </c>
      <c r="H23" s="82" t="s">
        <v>308</v>
      </c>
      <c r="I23" s="82" t="s">
        <v>216</v>
      </c>
      <c r="J23" s="82" t="s">
        <v>214</v>
      </c>
      <c r="K23" s="4" t="s">
        <v>214</v>
      </c>
      <c r="L23" s="97"/>
      <c r="M23" s="97"/>
      <c r="N23" s="97"/>
      <c r="O23" s="97"/>
      <c r="P23" s="97"/>
      <c r="Q23" s="97"/>
      <c r="R23" s="97"/>
      <c r="S23" s="97"/>
      <c r="T23" s="97"/>
      <c r="U23" s="97"/>
      <c r="V23" s="97"/>
      <c r="W23" s="97"/>
      <c r="X23" s="97"/>
      <c r="Y23" s="97"/>
    </row>
    <row r="24" spans="1:25" ht="28.8" customHeight="1" x14ac:dyDescent="0.3">
      <c r="A24" s="97"/>
      <c r="B24" s="4">
        <f t="shared" si="0"/>
        <v>21</v>
      </c>
      <c r="C24" s="4" t="s">
        <v>329</v>
      </c>
      <c r="D24" s="4" t="s">
        <v>218</v>
      </c>
      <c r="E24" s="4"/>
      <c r="F24" s="4"/>
      <c r="G24" s="82" t="s">
        <v>216</v>
      </c>
      <c r="H24" s="82" t="s">
        <v>308</v>
      </c>
      <c r="I24" s="82" t="s">
        <v>214</v>
      </c>
      <c r="J24" s="82" t="s">
        <v>214</v>
      </c>
      <c r="K24" s="4" t="s">
        <v>214</v>
      </c>
      <c r="L24" s="97"/>
      <c r="M24" s="97"/>
      <c r="N24" s="97"/>
      <c r="O24" s="97"/>
      <c r="P24" s="97"/>
      <c r="Q24" s="97"/>
      <c r="R24" s="97"/>
      <c r="S24" s="97"/>
      <c r="T24" s="97"/>
      <c r="U24" s="97"/>
      <c r="V24" s="97"/>
      <c r="W24" s="97"/>
      <c r="X24" s="97"/>
      <c r="Y24" s="97"/>
    </row>
    <row r="25" spans="1:25" ht="28.8" customHeight="1" x14ac:dyDescent="0.3">
      <c r="A25" s="97"/>
      <c r="B25" s="4">
        <f t="shared" si="0"/>
        <v>22</v>
      </c>
      <c r="C25" s="4" t="s">
        <v>330</v>
      </c>
      <c r="D25" s="4" t="s">
        <v>218</v>
      </c>
      <c r="E25" s="4"/>
      <c r="F25" s="4"/>
      <c r="G25" s="82" t="s">
        <v>214</v>
      </c>
      <c r="H25" s="82" t="s">
        <v>313</v>
      </c>
      <c r="I25" s="82" t="s">
        <v>214</v>
      </c>
      <c r="J25" s="82" t="s">
        <v>214</v>
      </c>
      <c r="K25" s="4" t="s">
        <v>214</v>
      </c>
      <c r="L25" s="97"/>
      <c r="M25" s="97"/>
      <c r="N25" s="97"/>
      <c r="O25" s="97"/>
      <c r="P25" s="97"/>
      <c r="Q25" s="97"/>
      <c r="R25" s="97"/>
      <c r="S25" s="97"/>
      <c r="T25" s="97"/>
      <c r="U25" s="97"/>
      <c r="V25" s="97"/>
      <c r="W25" s="97"/>
      <c r="X25" s="97"/>
      <c r="Y25" s="97"/>
    </row>
    <row r="26" spans="1:25" ht="28.8" customHeight="1" x14ac:dyDescent="0.3">
      <c r="A26" s="97"/>
      <c r="B26" s="4">
        <f t="shared" si="0"/>
        <v>23</v>
      </c>
      <c r="C26" s="4" t="s">
        <v>331</v>
      </c>
      <c r="D26" s="4" t="s">
        <v>218</v>
      </c>
      <c r="E26" s="4"/>
      <c r="F26" s="4"/>
      <c r="G26" s="82" t="s">
        <v>214</v>
      </c>
      <c r="H26" s="82" t="s">
        <v>313</v>
      </c>
      <c r="I26" s="82" t="s">
        <v>214</v>
      </c>
      <c r="J26" s="82" t="s">
        <v>214</v>
      </c>
      <c r="K26" s="4" t="s">
        <v>214</v>
      </c>
      <c r="L26" s="97"/>
      <c r="M26" s="97"/>
      <c r="N26" s="97"/>
      <c r="O26" s="97"/>
      <c r="P26" s="97"/>
      <c r="Q26" s="97"/>
      <c r="R26" s="97"/>
      <c r="S26" s="97"/>
      <c r="T26" s="97"/>
      <c r="U26" s="97"/>
      <c r="V26" s="97"/>
      <c r="W26" s="97"/>
      <c r="X26" s="97"/>
      <c r="Y26" s="97"/>
    </row>
    <row r="27" spans="1:25" ht="29.25" customHeight="1" x14ac:dyDescent="0.3">
      <c r="A27" s="97"/>
      <c r="B27" s="4">
        <f t="shared" si="0"/>
        <v>24</v>
      </c>
      <c r="C27" s="4" t="s">
        <v>332</v>
      </c>
      <c r="D27" s="4" t="s">
        <v>218</v>
      </c>
      <c r="E27" s="4"/>
      <c r="F27" s="4"/>
      <c r="G27" s="82" t="s">
        <v>216</v>
      </c>
      <c r="H27" s="82" t="s">
        <v>308</v>
      </c>
      <c r="I27" s="82" t="s">
        <v>216</v>
      </c>
      <c r="J27" s="82" t="s">
        <v>214</v>
      </c>
      <c r="K27" s="4"/>
      <c r="L27" s="97"/>
      <c r="M27" s="97"/>
      <c r="N27" s="97"/>
      <c r="O27" s="97"/>
      <c r="P27" s="97"/>
      <c r="Q27" s="97"/>
      <c r="R27" s="97"/>
      <c r="S27" s="97"/>
      <c r="T27" s="97"/>
      <c r="U27" s="97"/>
      <c r="V27" s="97"/>
      <c r="W27" s="97"/>
      <c r="X27" s="97"/>
      <c r="Y27" s="97"/>
    </row>
    <row r="28" spans="1:25" ht="29.25" customHeight="1" x14ac:dyDescent="0.3">
      <c r="A28" s="97"/>
      <c r="B28" s="4">
        <f t="shared" si="0"/>
        <v>25</v>
      </c>
      <c r="C28" s="4" t="s">
        <v>333</v>
      </c>
      <c r="D28" s="4" t="s">
        <v>221</v>
      </c>
      <c r="E28" s="4"/>
      <c r="F28" s="4"/>
      <c r="G28" s="82" t="s">
        <v>214</v>
      </c>
      <c r="H28" s="82" t="s">
        <v>313</v>
      </c>
      <c r="I28" s="82" t="s">
        <v>214</v>
      </c>
      <c r="J28" s="82" t="s">
        <v>334</v>
      </c>
      <c r="K28" s="4" t="s">
        <v>214</v>
      </c>
      <c r="L28" s="97"/>
      <c r="M28" s="97"/>
      <c r="N28" s="97"/>
      <c r="O28" s="97"/>
      <c r="P28" s="97"/>
      <c r="Q28" s="97"/>
      <c r="R28" s="97"/>
      <c r="S28" s="97"/>
      <c r="T28" s="97"/>
      <c r="U28" s="97"/>
      <c r="V28" s="97"/>
      <c r="W28" s="97"/>
      <c r="X28" s="97"/>
      <c r="Y28" s="97"/>
    </row>
    <row r="29" spans="1:25" ht="28.8" customHeight="1" x14ac:dyDescent="0.3">
      <c r="A29" s="97"/>
      <c r="B29" s="4">
        <f t="shared" si="0"/>
        <v>26</v>
      </c>
      <c r="C29" s="4" t="s">
        <v>335</v>
      </c>
      <c r="D29" s="4" t="s">
        <v>221</v>
      </c>
      <c r="E29" s="4"/>
      <c r="F29" s="4"/>
      <c r="G29" s="82" t="s">
        <v>216</v>
      </c>
      <c r="H29" s="82" t="s">
        <v>308</v>
      </c>
      <c r="I29" s="82" t="s">
        <v>216</v>
      </c>
      <c r="J29" s="82" t="s">
        <v>216</v>
      </c>
      <c r="K29" s="4" t="s">
        <v>214</v>
      </c>
      <c r="L29" s="97"/>
      <c r="M29" s="97"/>
      <c r="N29" s="97"/>
      <c r="O29" s="97"/>
      <c r="P29" s="97"/>
      <c r="Q29" s="97"/>
      <c r="R29" s="97"/>
      <c r="S29" s="97"/>
      <c r="T29" s="97"/>
      <c r="U29" s="97"/>
      <c r="V29" s="97"/>
      <c r="W29" s="97"/>
      <c r="X29" s="97"/>
      <c r="Y29" s="97"/>
    </row>
    <row r="30" spans="1:25" ht="28.8" customHeight="1" x14ac:dyDescent="0.3">
      <c r="A30" s="97"/>
      <c r="B30" s="4">
        <f t="shared" si="0"/>
        <v>27</v>
      </c>
      <c r="C30" s="4" t="s">
        <v>336</v>
      </c>
      <c r="D30" s="4" t="s">
        <v>221</v>
      </c>
      <c r="E30" s="4"/>
      <c r="F30" s="4"/>
      <c r="G30" s="82" t="s">
        <v>216</v>
      </c>
      <c r="H30" s="82" t="s">
        <v>308</v>
      </c>
      <c r="I30" s="82" t="s">
        <v>216</v>
      </c>
      <c r="J30" s="82" t="s">
        <v>216</v>
      </c>
      <c r="K30" s="4" t="s">
        <v>214</v>
      </c>
      <c r="L30" s="97"/>
      <c r="M30" s="97"/>
      <c r="N30" s="97"/>
      <c r="O30" s="97"/>
      <c r="P30" s="97"/>
      <c r="Q30" s="97"/>
      <c r="R30" s="97"/>
      <c r="S30" s="97"/>
      <c r="T30" s="97"/>
      <c r="U30" s="97"/>
      <c r="V30" s="97"/>
      <c r="W30" s="97"/>
      <c r="X30" s="97"/>
      <c r="Y30" s="97"/>
    </row>
    <row r="31" spans="1:25" ht="28.8" customHeight="1" x14ac:dyDescent="0.3">
      <c r="A31" s="97"/>
      <c r="B31" s="4">
        <f t="shared" si="0"/>
        <v>28</v>
      </c>
      <c r="C31" s="4" t="s">
        <v>337</v>
      </c>
      <c r="D31" s="4" t="s">
        <v>222</v>
      </c>
      <c r="E31" s="4"/>
      <c r="F31" s="4"/>
      <c r="G31" s="82" t="s">
        <v>214</v>
      </c>
      <c r="H31" s="82" t="s">
        <v>313</v>
      </c>
      <c r="I31" s="82" t="s">
        <v>214</v>
      </c>
      <c r="J31" s="82" t="s">
        <v>216</v>
      </c>
      <c r="K31" s="4" t="s">
        <v>214</v>
      </c>
      <c r="L31" s="97"/>
      <c r="M31" s="97"/>
      <c r="N31" s="97"/>
      <c r="O31" s="97"/>
      <c r="P31" s="97"/>
      <c r="Q31" s="97"/>
      <c r="R31" s="97"/>
      <c r="S31" s="97"/>
      <c r="T31" s="97"/>
      <c r="U31" s="97"/>
      <c r="V31" s="97"/>
      <c r="W31" s="97"/>
      <c r="X31" s="97"/>
      <c r="Y31" s="97"/>
    </row>
    <row r="32" spans="1:25" ht="28.8" customHeight="1" x14ac:dyDescent="0.3">
      <c r="A32" s="97"/>
      <c r="B32" s="4">
        <f t="shared" si="0"/>
        <v>29</v>
      </c>
      <c r="C32" s="4" t="s">
        <v>338</v>
      </c>
      <c r="D32" s="4" t="s">
        <v>222</v>
      </c>
      <c r="E32" s="4"/>
      <c r="F32" s="4"/>
      <c r="G32" s="82" t="s">
        <v>216</v>
      </c>
      <c r="H32" s="82" t="s">
        <v>308</v>
      </c>
      <c r="I32" s="82" t="s">
        <v>216</v>
      </c>
      <c r="J32" s="82" t="s">
        <v>216</v>
      </c>
      <c r="K32" s="4" t="s">
        <v>214</v>
      </c>
      <c r="L32" s="97"/>
      <c r="M32" s="97"/>
      <c r="N32" s="97"/>
      <c r="O32" s="97"/>
      <c r="P32" s="97"/>
      <c r="Q32" s="97"/>
      <c r="R32" s="97"/>
      <c r="S32" s="97"/>
      <c r="T32" s="97"/>
      <c r="U32" s="97"/>
      <c r="V32" s="97"/>
      <c r="W32" s="97"/>
      <c r="X32" s="97"/>
      <c r="Y32" s="97"/>
    </row>
    <row r="33" spans="1:25" ht="29.55" customHeight="1" x14ac:dyDescent="0.3">
      <c r="A33" s="97"/>
      <c r="B33" s="4">
        <f t="shared" si="0"/>
        <v>30</v>
      </c>
      <c r="C33" s="4" t="s">
        <v>339</v>
      </c>
      <c r="D33" s="4" t="s">
        <v>222</v>
      </c>
      <c r="E33" s="4"/>
      <c r="F33" s="4"/>
      <c r="G33" s="82" t="s">
        <v>214</v>
      </c>
      <c r="H33" s="82" t="s">
        <v>313</v>
      </c>
      <c r="I33" s="82" t="s">
        <v>214</v>
      </c>
      <c r="J33" s="82" t="s">
        <v>216</v>
      </c>
      <c r="K33" s="4"/>
      <c r="L33" s="97"/>
      <c r="M33" s="97"/>
      <c r="N33" s="97"/>
      <c r="O33" s="97"/>
      <c r="P33" s="97"/>
      <c r="Q33" s="97"/>
      <c r="R33" s="97"/>
      <c r="S33" s="97"/>
      <c r="T33" s="97"/>
      <c r="U33" s="97"/>
      <c r="V33" s="97"/>
      <c r="W33" s="97"/>
      <c r="X33" s="97"/>
      <c r="Y33" s="97"/>
    </row>
    <row r="34" spans="1:25" ht="28.8" customHeight="1" x14ac:dyDescent="0.3">
      <c r="A34" s="97"/>
      <c r="B34" s="4">
        <f t="shared" si="0"/>
        <v>31</v>
      </c>
      <c r="C34" s="4" t="s">
        <v>340</v>
      </c>
      <c r="D34" s="4" t="s">
        <v>223</v>
      </c>
      <c r="E34" s="4"/>
      <c r="F34" s="4"/>
      <c r="G34" s="82" t="s">
        <v>214</v>
      </c>
      <c r="H34" s="82" t="s">
        <v>313</v>
      </c>
      <c r="I34" s="82" t="s">
        <v>214</v>
      </c>
      <c r="J34" s="82" t="s">
        <v>214</v>
      </c>
      <c r="K34" s="4" t="s">
        <v>214</v>
      </c>
      <c r="L34" s="97"/>
      <c r="M34" s="97"/>
      <c r="N34" s="97"/>
      <c r="O34" s="97"/>
      <c r="P34" s="97"/>
      <c r="Q34" s="97"/>
      <c r="R34" s="97"/>
      <c r="S34" s="97"/>
      <c r="T34" s="97"/>
      <c r="U34" s="97"/>
      <c r="V34" s="97"/>
      <c r="W34" s="97"/>
      <c r="X34" s="97"/>
      <c r="Y34" s="97"/>
    </row>
    <row r="35" spans="1:25" ht="28.05" customHeight="1" x14ac:dyDescent="0.3">
      <c r="A35" s="97"/>
      <c r="B35" s="4">
        <f t="shared" si="0"/>
        <v>32</v>
      </c>
      <c r="C35" s="4" t="s">
        <v>341</v>
      </c>
      <c r="D35" s="4" t="s">
        <v>223</v>
      </c>
      <c r="E35" s="4"/>
      <c r="F35" s="4"/>
      <c r="G35" s="82" t="s">
        <v>342</v>
      </c>
      <c r="H35" s="82" t="s">
        <v>343</v>
      </c>
      <c r="I35" s="82" t="s">
        <v>214</v>
      </c>
      <c r="J35" s="82" t="s">
        <v>214</v>
      </c>
      <c r="K35" s="4" t="s">
        <v>214</v>
      </c>
      <c r="L35" s="97"/>
      <c r="M35" s="97"/>
      <c r="N35" s="97"/>
      <c r="O35" s="97"/>
      <c r="P35" s="97"/>
      <c r="Q35" s="97"/>
      <c r="R35" s="97"/>
      <c r="S35" s="97"/>
      <c r="T35" s="97"/>
      <c r="U35" s="97"/>
      <c r="V35" s="97"/>
      <c r="W35" s="97"/>
      <c r="X35" s="97"/>
      <c r="Y35" s="97"/>
    </row>
    <row r="36" spans="1:25" ht="28.8" customHeight="1" x14ac:dyDescent="0.3">
      <c r="A36" s="97"/>
      <c r="B36" s="4">
        <f t="shared" si="0"/>
        <v>33</v>
      </c>
      <c r="C36" s="4" t="s">
        <v>344</v>
      </c>
      <c r="D36" s="4" t="s">
        <v>223</v>
      </c>
      <c r="E36" s="4"/>
      <c r="F36" s="4"/>
      <c r="G36" s="82" t="s">
        <v>214</v>
      </c>
      <c r="H36" s="82" t="s">
        <v>313</v>
      </c>
      <c r="I36" s="82" t="s">
        <v>216</v>
      </c>
      <c r="J36" s="82" t="s">
        <v>214</v>
      </c>
      <c r="K36" s="4" t="s">
        <v>214</v>
      </c>
      <c r="L36" s="97"/>
      <c r="M36" s="97"/>
      <c r="N36" s="97"/>
      <c r="O36" s="97"/>
      <c r="P36" s="97"/>
      <c r="Q36" s="97"/>
      <c r="R36" s="97"/>
      <c r="S36" s="97"/>
      <c r="T36" s="97"/>
      <c r="U36" s="97"/>
      <c r="V36" s="97"/>
      <c r="W36" s="97"/>
      <c r="X36" s="97"/>
      <c r="Y36" s="97"/>
    </row>
    <row r="37" spans="1:25" ht="28.8" customHeight="1" x14ac:dyDescent="0.3">
      <c r="A37" s="97"/>
      <c r="B37" s="4">
        <f t="shared" si="0"/>
        <v>34</v>
      </c>
      <c r="C37" s="4" t="s">
        <v>345</v>
      </c>
      <c r="D37" s="4" t="s">
        <v>223</v>
      </c>
      <c r="E37" s="4"/>
      <c r="F37" s="4"/>
      <c r="G37" s="82" t="s">
        <v>216</v>
      </c>
      <c r="H37" s="82" t="s">
        <v>308</v>
      </c>
      <c r="I37" s="82" t="s">
        <v>216</v>
      </c>
      <c r="J37" s="82" t="s">
        <v>216</v>
      </c>
      <c r="K37" s="4" t="s">
        <v>214</v>
      </c>
      <c r="L37" s="97"/>
      <c r="M37" s="97"/>
      <c r="N37" s="97"/>
      <c r="O37" s="97"/>
      <c r="P37" s="97"/>
      <c r="Q37" s="97"/>
      <c r="R37" s="97"/>
      <c r="S37" s="97"/>
      <c r="T37" s="97"/>
      <c r="U37" s="97"/>
      <c r="V37" s="97"/>
      <c r="W37" s="97"/>
      <c r="X37" s="97"/>
      <c r="Y37" s="97"/>
    </row>
    <row r="38" spans="1:25" ht="29.25" customHeight="1" x14ac:dyDescent="0.3">
      <c r="A38" s="97"/>
      <c r="B38" s="4">
        <f t="shared" si="0"/>
        <v>35</v>
      </c>
      <c r="C38" s="4" t="s">
        <v>346</v>
      </c>
      <c r="D38" s="4" t="s">
        <v>223</v>
      </c>
      <c r="E38" s="4"/>
      <c r="F38" s="4"/>
      <c r="G38" s="82" t="s">
        <v>342</v>
      </c>
      <c r="H38" s="82" t="s">
        <v>343</v>
      </c>
      <c r="I38" s="82" t="s">
        <v>214</v>
      </c>
      <c r="J38" s="82" t="s">
        <v>214</v>
      </c>
      <c r="K38" s="4" t="s">
        <v>214</v>
      </c>
      <c r="L38" s="97"/>
      <c r="M38" s="97"/>
      <c r="N38" s="97"/>
      <c r="O38" s="97"/>
      <c r="P38" s="97"/>
      <c r="Q38" s="97"/>
      <c r="R38" s="97"/>
      <c r="S38" s="97"/>
      <c r="T38" s="97"/>
      <c r="U38" s="97"/>
      <c r="V38" s="97"/>
      <c r="W38" s="97"/>
      <c r="X38" s="97"/>
      <c r="Y38" s="97"/>
    </row>
    <row r="39" spans="1:25" ht="28.8" customHeight="1" x14ac:dyDescent="0.3">
      <c r="A39" s="97"/>
      <c r="B39" s="4">
        <f t="shared" si="0"/>
        <v>36</v>
      </c>
      <c r="C39" s="4" t="s">
        <v>347</v>
      </c>
      <c r="D39" s="4" t="s">
        <v>223</v>
      </c>
      <c r="E39" s="4"/>
      <c r="F39" s="4"/>
      <c r="G39" s="82" t="s">
        <v>216</v>
      </c>
      <c r="H39" s="82" t="s">
        <v>308</v>
      </c>
      <c r="I39" s="82" t="s">
        <v>216</v>
      </c>
      <c r="J39" s="82" t="s">
        <v>214</v>
      </c>
      <c r="K39" s="4" t="s">
        <v>214</v>
      </c>
      <c r="L39" s="97"/>
      <c r="M39" s="97"/>
      <c r="N39" s="97"/>
      <c r="O39" s="97"/>
      <c r="P39" s="97"/>
      <c r="Q39" s="97"/>
      <c r="R39" s="97"/>
      <c r="S39" s="97"/>
      <c r="T39" s="97"/>
      <c r="U39" s="97"/>
      <c r="V39" s="97"/>
      <c r="W39" s="97"/>
      <c r="X39" s="97"/>
      <c r="Y39" s="97"/>
    </row>
    <row r="40" spans="1:25" ht="29.55" customHeight="1" x14ac:dyDescent="0.3">
      <c r="A40" s="97"/>
      <c r="B40" s="4">
        <f t="shared" si="0"/>
        <v>37</v>
      </c>
      <c r="C40" s="4" t="s">
        <v>348</v>
      </c>
      <c r="D40" s="4" t="s">
        <v>223</v>
      </c>
      <c r="E40" s="4"/>
      <c r="F40" s="4"/>
      <c r="G40" s="82" t="s">
        <v>342</v>
      </c>
      <c r="H40" s="82" t="s">
        <v>343</v>
      </c>
      <c r="I40" s="82" t="s">
        <v>214</v>
      </c>
      <c r="J40" s="82" t="s">
        <v>216</v>
      </c>
      <c r="K40" s="4" t="s">
        <v>214</v>
      </c>
      <c r="L40" s="97"/>
      <c r="M40" s="97"/>
      <c r="N40" s="97"/>
      <c r="O40" s="97"/>
      <c r="P40" s="97"/>
      <c r="Q40" s="97"/>
      <c r="R40" s="97"/>
      <c r="S40" s="97"/>
      <c r="T40" s="97"/>
      <c r="U40" s="97"/>
      <c r="V40" s="97"/>
      <c r="W40" s="97"/>
      <c r="X40" s="97"/>
      <c r="Y40" s="97"/>
    </row>
    <row r="41" spans="1:25" ht="28.8" customHeight="1" x14ac:dyDescent="0.3">
      <c r="A41" s="97"/>
      <c r="B41" s="4">
        <f t="shared" ref="B41:B72" si="1">B40+1</f>
        <v>38</v>
      </c>
      <c r="C41" s="4" t="s">
        <v>349</v>
      </c>
      <c r="D41" s="4" t="s">
        <v>223</v>
      </c>
      <c r="E41" s="4"/>
      <c r="F41" s="4"/>
      <c r="G41" s="82" t="s">
        <v>214</v>
      </c>
      <c r="H41" s="82" t="s">
        <v>313</v>
      </c>
      <c r="I41" s="82" t="s">
        <v>214</v>
      </c>
      <c r="J41" s="82" t="s">
        <v>214</v>
      </c>
      <c r="K41" s="4" t="s">
        <v>214</v>
      </c>
      <c r="L41" s="97"/>
      <c r="M41" s="97"/>
      <c r="N41" s="97"/>
      <c r="O41" s="97"/>
      <c r="P41" s="97"/>
      <c r="Q41" s="97"/>
      <c r="R41" s="97"/>
      <c r="S41" s="97"/>
      <c r="T41" s="97"/>
      <c r="U41" s="97"/>
      <c r="V41" s="97"/>
      <c r="W41" s="97"/>
      <c r="X41" s="97"/>
      <c r="Y41" s="97"/>
    </row>
    <row r="42" spans="1:25" ht="28.8" customHeight="1" x14ac:dyDescent="0.3">
      <c r="A42" s="97"/>
      <c r="B42" s="4">
        <f t="shared" si="1"/>
        <v>39</v>
      </c>
      <c r="C42" s="4" t="s">
        <v>350</v>
      </c>
      <c r="D42" s="4" t="s">
        <v>223</v>
      </c>
      <c r="E42" s="4"/>
      <c r="F42" s="4"/>
      <c r="G42" s="82" t="s">
        <v>214</v>
      </c>
      <c r="H42" s="82" t="s">
        <v>313</v>
      </c>
      <c r="I42" s="82" t="s">
        <v>216</v>
      </c>
      <c r="J42" s="82" t="s">
        <v>216</v>
      </c>
      <c r="K42" s="4" t="s">
        <v>214</v>
      </c>
      <c r="L42" s="97"/>
      <c r="M42" s="97"/>
      <c r="N42" s="97"/>
      <c r="O42" s="97"/>
      <c r="P42" s="97"/>
      <c r="Q42" s="97"/>
      <c r="R42" s="97"/>
      <c r="S42" s="97"/>
      <c r="T42" s="97"/>
      <c r="U42" s="97"/>
      <c r="V42" s="97"/>
      <c r="W42" s="97"/>
      <c r="X42" s="97"/>
      <c r="Y42" s="97"/>
    </row>
    <row r="43" spans="1:25" ht="28.8" customHeight="1" x14ac:dyDescent="0.3">
      <c r="A43" s="97"/>
      <c r="B43" s="4">
        <f t="shared" si="1"/>
        <v>40</v>
      </c>
      <c r="C43" s="4" t="s">
        <v>351</v>
      </c>
      <c r="D43" s="4" t="s">
        <v>223</v>
      </c>
      <c r="E43" s="4"/>
      <c r="F43" s="4"/>
      <c r="G43" s="82" t="s">
        <v>214</v>
      </c>
      <c r="H43" s="82" t="s">
        <v>313</v>
      </c>
      <c r="I43" s="82" t="s">
        <v>216</v>
      </c>
      <c r="J43" s="82" t="s">
        <v>216</v>
      </c>
      <c r="K43" s="4" t="s">
        <v>214</v>
      </c>
      <c r="L43" s="97"/>
      <c r="M43" s="97"/>
      <c r="N43" s="97"/>
      <c r="O43" s="97"/>
      <c r="P43" s="97"/>
      <c r="Q43" s="97"/>
      <c r="R43" s="97"/>
      <c r="S43" s="97"/>
      <c r="T43" s="97"/>
      <c r="U43" s="97"/>
      <c r="V43" s="97"/>
      <c r="W43" s="97"/>
      <c r="X43" s="97"/>
      <c r="Y43" s="97"/>
    </row>
    <row r="44" spans="1:25" ht="28.8" customHeight="1" x14ac:dyDescent="0.3">
      <c r="A44" s="97"/>
      <c r="B44" s="4">
        <f t="shared" si="1"/>
        <v>41</v>
      </c>
      <c r="C44" s="4" t="s">
        <v>352</v>
      </c>
      <c r="D44" s="4" t="s">
        <v>223</v>
      </c>
      <c r="E44" s="4"/>
      <c r="F44" s="4"/>
      <c r="G44" s="82" t="s">
        <v>214</v>
      </c>
      <c r="H44" s="82" t="s">
        <v>313</v>
      </c>
      <c r="I44" s="82" t="s">
        <v>214</v>
      </c>
      <c r="J44" s="82" t="s">
        <v>214</v>
      </c>
      <c r="K44" s="4" t="s">
        <v>214</v>
      </c>
      <c r="L44" s="97"/>
      <c r="M44" s="97"/>
      <c r="N44" s="97"/>
      <c r="O44" s="97"/>
      <c r="P44" s="97"/>
      <c r="Q44" s="97"/>
      <c r="R44" s="97"/>
      <c r="S44" s="97"/>
      <c r="T44" s="97"/>
      <c r="U44" s="97"/>
      <c r="V44" s="97"/>
      <c r="W44" s="97"/>
      <c r="X44" s="97"/>
      <c r="Y44" s="97"/>
    </row>
    <row r="45" spans="1:25" ht="28.8" customHeight="1" x14ac:dyDescent="0.3">
      <c r="A45" s="97"/>
      <c r="B45" s="4">
        <f t="shared" si="1"/>
        <v>42</v>
      </c>
      <c r="C45" s="4" t="s">
        <v>353</v>
      </c>
      <c r="D45" s="4" t="s">
        <v>223</v>
      </c>
      <c r="E45" s="4"/>
      <c r="F45" s="4"/>
      <c r="G45" s="82" t="s">
        <v>214</v>
      </c>
      <c r="H45" s="82" t="s">
        <v>313</v>
      </c>
      <c r="I45" s="82" t="s">
        <v>214</v>
      </c>
      <c r="J45" s="82" t="s">
        <v>214</v>
      </c>
      <c r="K45" s="4" t="s">
        <v>214</v>
      </c>
      <c r="L45" s="97"/>
      <c r="M45" s="97"/>
      <c r="N45" s="97"/>
      <c r="O45" s="97"/>
      <c r="P45" s="97"/>
      <c r="Q45" s="97"/>
      <c r="R45" s="97"/>
      <c r="S45" s="97"/>
      <c r="T45" s="97"/>
      <c r="U45" s="97"/>
      <c r="V45" s="97"/>
      <c r="W45" s="97"/>
      <c r="X45" s="97"/>
      <c r="Y45" s="97"/>
    </row>
    <row r="46" spans="1:25" ht="28.8" customHeight="1" x14ac:dyDescent="0.3">
      <c r="A46" s="97"/>
      <c r="B46" s="4">
        <f t="shared" si="1"/>
        <v>43</v>
      </c>
      <c r="C46" s="4" t="s">
        <v>354</v>
      </c>
      <c r="D46" s="4" t="s">
        <v>223</v>
      </c>
      <c r="E46" s="4"/>
      <c r="F46" s="4"/>
      <c r="G46" s="82" t="s">
        <v>214</v>
      </c>
      <c r="H46" s="82" t="s">
        <v>313</v>
      </c>
      <c r="I46" s="82" t="s">
        <v>214</v>
      </c>
      <c r="J46" s="82" t="s">
        <v>214</v>
      </c>
      <c r="K46" s="4" t="s">
        <v>214</v>
      </c>
      <c r="L46" s="97"/>
      <c r="M46" s="97"/>
      <c r="N46" s="97"/>
      <c r="O46" s="97"/>
      <c r="P46" s="97"/>
      <c r="Q46" s="97"/>
      <c r="R46" s="97"/>
      <c r="S46" s="97"/>
      <c r="T46" s="97"/>
      <c r="U46" s="97"/>
      <c r="V46" s="97"/>
      <c r="W46" s="97"/>
      <c r="X46" s="97"/>
      <c r="Y46" s="97"/>
    </row>
    <row r="47" spans="1:25" ht="28.8" customHeight="1" x14ac:dyDescent="0.3">
      <c r="A47" s="97"/>
      <c r="B47" s="4">
        <f t="shared" si="1"/>
        <v>44</v>
      </c>
      <c r="C47" s="4" t="s">
        <v>355</v>
      </c>
      <c r="D47" s="4" t="s">
        <v>223</v>
      </c>
      <c r="E47" s="4"/>
      <c r="F47" s="4"/>
      <c r="G47" s="82" t="s">
        <v>214</v>
      </c>
      <c r="H47" s="82" t="s">
        <v>313</v>
      </c>
      <c r="I47" s="82" t="s">
        <v>214</v>
      </c>
      <c r="J47" s="82" t="s">
        <v>214</v>
      </c>
      <c r="K47" s="4" t="s">
        <v>214</v>
      </c>
      <c r="L47" s="97"/>
      <c r="M47" s="97"/>
      <c r="N47" s="97"/>
      <c r="O47" s="97"/>
      <c r="P47" s="97"/>
      <c r="Q47" s="97"/>
      <c r="R47" s="97"/>
      <c r="S47" s="97"/>
      <c r="T47" s="97"/>
      <c r="U47" s="97"/>
      <c r="V47" s="97"/>
      <c r="W47" s="97"/>
      <c r="X47" s="97"/>
      <c r="Y47" s="97"/>
    </row>
    <row r="48" spans="1:25" ht="28.8" customHeight="1" x14ac:dyDescent="0.3">
      <c r="A48" s="97"/>
      <c r="B48" s="4">
        <f t="shared" si="1"/>
        <v>45</v>
      </c>
      <c r="C48" s="4" t="s">
        <v>356</v>
      </c>
      <c r="D48" s="4" t="s">
        <v>223</v>
      </c>
      <c r="E48" s="4"/>
      <c r="F48" s="4"/>
      <c r="G48" s="82" t="s">
        <v>214</v>
      </c>
      <c r="H48" s="82" t="s">
        <v>313</v>
      </c>
      <c r="I48" s="82" t="s">
        <v>216</v>
      </c>
      <c r="J48" s="82" t="s">
        <v>216</v>
      </c>
      <c r="K48" s="4" t="s">
        <v>214</v>
      </c>
      <c r="L48" s="97"/>
      <c r="M48" s="97"/>
      <c r="N48" s="97"/>
      <c r="O48" s="97"/>
      <c r="P48" s="97"/>
      <c r="Q48" s="97"/>
      <c r="R48" s="97"/>
      <c r="S48" s="97"/>
      <c r="T48" s="97"/>
      <c r="U48" s="97"/>
      <c r="V48" s="97"/>
      <c r="W48" s="97"/>
      <c r="X48" s="97"/>
      <c r="Y48" s="97"/>
    </row>
    <row r="49" spans="1:25" ht="28.8" customHeight="1" x14ac:dyDescent="0.3">
      <c r="A49" s="97"/>
      <c r="B49" s="4">
        <f t="shared" si="1"/>
        <v>46</v>
      </c>
      <c r="C49" s="4" t="s">
        <v>105</v>
      </c>
      <c r="D49" s="4" t="s">
        <v>104</v>
      </c>
      <c r="E49" s="4"/>
      <c r="F49" s="4"/>
      <c r="G49" s="82" t="s">
        <v>216</v>
      </c>
      <c r="H49" s="82" t="s">
        <v>308</v>
      </c>
      <c r="I49" s="82" t="s">
        <v>214</v>
      </c>
      <c r="J49" s="82" t="s">
        <v>214</v>
      </c>
      <c r="K49" s="4" t="s">
        <v>214</v>
      </c>
      <c r="L49" s="97"/>
      <c r="M49" s="97"/>
      <c r="N49" s="97"/>
      <c r="O49" s="97"/>
      <c r="P49" s="97"/>
      <c r="Q49" s="97"/>
      <c r="R49" s="97"/>
      <c r="S49" s="97"/>
      <c r="T49" s="97"/>
      <c r="U49" s="97"/>
      <c r="V49" s="97"/>
      <c r="W49" s="97"/>
      <c r="X49" s="97"/>
      <c r="Y49" s="97"/>
    </row>
    <row r="50" spans="1:25" ht="28.8" customHeight="1" x14ac:dyDescent="0.3">
      <c r="A50" s="97"/>
      <c r="B50" s="4">
        <f t="shared" si="1"/>
        <v>47</v>
      </c>
      <c r="C50" s="4" t="s">
        <v>357</v>
      </c>
      <c r="D50" s="4" t="s">
        <v>223</v>
      </c>
      <c r="E50" s="4"/>
      <c r="F50" s="4"/>
      <c r="G50" s="82" t="s">
        <v>214</v>
      </c>
      <c r="H50" s="82" t="s">
        <v>313</v>
      </c>
      <c r="I50" s="82" t="s">
        <v>216</v>
      </c>
      <c r="J50" s="82" t="s">
        <v>216</v>
      </c>
      <c r="K50" s="4" t="s">
        <v>214</v>
      </c>
      <c r="L50" s="97"/>
      <c r="M50" s="97"/>
      <c r="N50" s="97"/>
      <c r="O50" s="97"/>
      <c r="P50" s="97"/>
      <c r="Q50" s="97"/>
      <c r="R50" s="97"/>
      <c r="S50" s="97"/>
      <c r="T50" s="97"/>
      <c r="U50" s="97"/>
      <c r="V50" s="97"/>
      <c r="W50" s="97"/>
      <c r="X50" s="97"/>
      <c r="Y50" s="97"/>
    </row>
    <row r="51" spans="1:25" ht="29.55" customHeight="1" x14ac:dyDescent="0.3">
      <c r="A51" s="97"/>
      <c r="B51" s="4">
        <f t="shared" si="1"/>
        <v>48</v>
      </c>
      <c r="C51" s="4" t="s">
        <v>358</v>
      </c>
      <c r="D51" s="4" t="s">
        <v>223</v>
      </c>
      <c r="E51" s="4"/>
      <c r="F51" s="4"/>
      <c r="G51" s="82" t="s">
        <v>342</v>
      </c>
      <c r="H51" s="82" t="s">
        <v>343</v>
      </c>
      <c r="I51" s="82" t="s">
        <v>214</v>
      </c>
      <c r="J51" s="82" t="s">
        <v>214</v>
      </c>
      <c r="K51" s="4" t="s">
        <v>214</v>
      </c>
      <c r="L51" s="97"/>
      <c r="M51" s="97"/>
      <c r="N51" s="97"/>
      <c r="O51" s="97"/>
      <c r="P51" s="97"/>
      <c r="Q51" s="97"/>
      <c r="R51" s="97"/>
      <c r="S51" s="97"/>
      <c r="T51" s="97"/>
      <c r="U51" s="97"/>
      <c r="V51" s="97"/>
      <c r="W51" s="97"/>
      <c r="X51" s="97"/>
      <c r="Y51" s="97"/>
    </row>
    <row r="52" spans="1:25" ht="28.8" customHeight="1" x14ac:dyDescent="0.3">
      <c r="A52" s="97"/>
      <c r="B52" s="4">
        <f t="shared" si="1"/>
        <v>49</v>
      </c>
      <c r="C52" s="4" t="s">
        <v>359</v>
      </c>
      <c r="D52" s="4" t="s">
        <v>223</v>
      </c>
      <c r="E52" s="4"/>
      <c r="F52" s="4"/>
      <c r="G52" s="82" t="s">
        <v>214</v>
      </c>
      <c r="H52" s="82" t="s">
        <v>313</v>
      </c>
      <c r="I52" s="82" t="s">
        <v>214</v>
      </c>
      <c r="J52" s="82" t="s">
        <v>214</v>
      </c>
      <c r="K52" s="4" t="s">
        <v>214</v>
      </c>
      <c r="L52" s="97"/>
      <c r="M52" s="97"/>
      <c r="N52" s="97"/>
      <c r="O52" s="97"/>
      <c r="P52" s="97"/>
      <c r="Q52" s="97"/>
      <c r="R52" s="97"/>
      <c r="S52" s="97"/>
      <c r="T52" s="97"/>
      <c r="U52" s="97"/>
      <c r="V52" s="97"/>
      <c r="W52" s="97"/>
      <c r="X52" s="97"/>
      <c r="Y52" s="97"/>
    </row>
    <row r="53" spans="1:25" ht="28.8" customHeight="1" x14ac:dyDescent="0.3">
      <c r="A53" s="97"/>
      <c r="B53" s="4">
        <f t="shared" si="1"/>
        <v>50</v>
      </c>
      <c r="C53" s="4" t="s">
        <v>360</v>
      </c>
      <c r="D53" s="4" t="s">
        <v>223</v>
      </c>
      <c r="E53" s="4"/>
      <c r="F53" s="4"/>
      <c r="G53" s="82" t="s">
        <v>214</v>
      </c>
      <c r="H53" s="82" t="s">
        <v>313</v>
      </c>
      <c r="I53" s="82" t="s">
        <v>214</v>
      </c>
      <c r="J53" s="82" t="s">
        <v>214</v>
      </c>
      <c r="K53" s="4" t="s">
        <v>214</v>
      </c>
      <c r="L53" s="97"/>
      <c r="M53" s="97"/>
      <c r="N53" s="97"/>
      <c r="O53" s="97"/>
      <c r="P53" s="97"/>
      <c r="Q53" s="97"/>
      <c r="R53" s="97"/>
      <c r="S53" s="97"/>
      <c r="T53" s="97"/>
      <c r="U53" s="97"/>
      <c r="V53" s="97"/>
      <c r="W53" s="97"/>
      <c r="X53" s="97"/>
      <c r="Y53" s="97"/>
    </row>
    <row r="54" spans="1:25" ht="29.55" customHeight="1" x14ac:dyDescent="0.3">
      <c r="A54" s="97"/>
      <c r="B54" s="4">
        <f t="shared" si="1"/>
        <v>51</v>
      </c>
      <c r="C54" s="4" t="s">
        <v>361</v>
      </c>
      <c r="D54" s="4" t="s">
        <v>223</v>
      </c>
      <c r="E54" s="4"/>
      <c r="F54" s="4"/>
      <c r="G54" s="82" t="s">
        <v>214</v>
      </c>
      <c r="H54" s="82" t="s">
        <v>313</v>
      </c>
      <c r="I54" s="82" t="s">
        <v>214</v>
      </c>
      <c r="J54" s="82" t="s">
        <v>214</v>
      </c>
      <c r="K54" s="4"/>
      <c r="L54" s="97"/>
      <c r="M54" s="97"/>
      <c r="N54" s="97"/>
      <c r="O54" s="97"/>
      <c r="P54" s="97"/>
      <c r="Q54" s="97"/>
      <c r="R54" s="97"/>
      <c r="S54" s="97"/>
      <c r="T54" s="97"/>
      <c r="U54" s="97"/>
      <c r="V54" s="97"/>
      <c r="W54" s="97"/>
      <c r="X54" s="97"/>
      <c r="Y54" s="97"/>
    </row>
    <row r="55" spans="1:25" ht="28.8" customHeight="1" x14ac:dyDescent="0.3">
      <c r="A55" s="97"/>
      <c r="B55" s="4">
        <f t="shared" si="1"/>
        <v>52</v>
      </c>
      <c r="C55" s="4" t="s">
        <v>362</v>
      </c>
      <c r="D55" s="4" t="s">
        <v>224</v>
      </c>
      <c r="E55" s="4"/>
      <c r="F55" s="4"/>
      <c r="G55" s="82" t="s">
        <v>214</v>
      </c>
      <c r="H55" s="82" t="s">
        <v>313</v>
      </c>
      <c r="I55" s="82" t="s">
        <v>214</v>
      </c>
      <c r="J55" s="82" t="s">
        <v>214</v>
      </c>
      <c r="K55" s="4" t="s">
        <v>214</v>
      </c>
      <c r="L55" s="97"/>
      <c r="M55" s="97"/>
      <c r="N55" s="97"/>
      <c r="O55" s="97"/>
      <c r="P55" s="97"/>
      <c r="Q55" s="97"/>
      <c r="R55" s="97"/>
      <c r="S55" s="97"/>
      <c r="T55" s="97"/>
      <c r="U55" s="97"/>
      <c r="V55" s="97"/>
      <c r="W55" s="97"/>
      <c r="X55" s="97"/>
      <c r="Y55" s="97"/>
    </row>
    <row r="56" spans="1:25" ht="28.8" customHeight="1" x14ac:dyDescent="0.3">
      <c r="A56" s="97"/>
      <c r="B56" s="4">
        <f t="shared" si="1"/>
        <v>53</v>
      </c>
      <c r="C56" s="4" t="s">
        <v>363</v>
      </c>
      <c r="D56" s="4" t="s">
        <v>224</v>
      </c>
      <c r="E56" s="4"/>
      <c r="F56" s="4"/>
      <c r="G56" s="82" t="s">
        <v>216</v>
      </c>
      <c r="H56" s="82" t="s">
        <v>308</v>
      </c>
      <c r="I56" s="82" t="s">
        <v>216</v>
      </c>
      <c r="J56" s="82" t="s">
        <v>216</v>
      </c>
      <c r="K56" s="4" t="s">
        <v>214</v>
      </c>
      <c r="L56" s="97"/>
      <c r="M56" s="97"/>
      <c r="N56" s="97"/>
      <c r="O56" s="97"/>
      <c r="P56" s="97"/>
      <c r="Q56" s="97"/>
      <c r="R56" s="97"/>
      <c r="S56" s="97"/>
      <c r="T56" s="97"/>
      <c r="U56" s="97"/>
      <c r="V56" s="97"/>
      <c r="W56" s="97"/>
      <c r="X56" s="97"/>
      <c r="Y56" s="97"/>
    </row>
    <row r="57" spans="1:25" ht="28.8" customHeight="1" x14ac:dyDescent="0.3">
      <c r="A57" s="97"/>
      <c r="B57" s="4">
        <f t="shared" si="1"/>
        <v>54</v>
      </c>
      <c r="C57" s="4" t="s">
        <v>364</v>
      </c>
      <c r="D57" s="4" t="s">
        <v>224</v>
      </c>
      <c r="E57" s="4"/>
      <c r="F57" s="4"/>
      <c r="G57" s="82" t="s">
        <v>216</v>
      </c>
      <c r="H57" s="82" t="s">
        <v>308</v>
      </c>
      <c r="I57" s="82" t="s">
        <v>214</v>
      </c>
      <c r="J57" s="82" t="s">
        <v>214</v>
      </c>
      <c r="K57" s="4" t="s">
        <v>214</v>
      </c>
      <c r="L57" s="97"/>
      <c r="M57" s="97"/>
      <c r="N57" s="97"/>
      <c r="O57" s="97"/>
      <c r="P57" s="97"/>
      <c r="Q57" s="97"/>
      <c r="R57" s="97"/>
      <c r="S57" s="97"/>
      <c r="T57" s="97"/>
      <c r="U57" s="97"/>
      <c r="V57" s="97"/>
      <c r="W57" s="97"/>
      <c r="X57" s="97"/>
      <c r="Y57" s="97"/>
    </row>
    <row r="58" spans="1:25" ht="28.8" customHeight="1" x14ac:dyDescent="0.3">
      <c r="A58" s="97"/>
      <c r="B58" s="4">
        <f t="shared" si="1"/>
        <v>55</v>
      </c>
      <c r="C58" s="4" t="s">
        <v>365</v>
      </c>
      <c r="D58" s="4" t="s">
        <v>224</v>
      </c>
      <c r="E58" s="4"/>
      <c r="F58" s="4"/>
      <c r="G58" s="82" t="s">
        <v>216</v>
      </c>
      <c r="H58" s="82" t="s">
        <v>308</v>
      </c>
      <c r="I58" s="82" t="s">
        <v>214</v>
      </c>
      <c r="J58" s="82" t="s">
        <v>214</v>
      </c>
      <c r="K58" s="4" t="s">
        <v>214</v>
      </c>
      <c r="L58" s="97"/>
      <c r="M58" s="97"/>
      <c r="N58" s="97"/>
      <c r="O58" s="97"/>
      <c r="P58" s="97"/>
      <c r="Q58" s="97"/>
      <c r="R58" s="97"/>
      <c r="S58" s="97"/>
      <c r="T58" s="97"/>
      <c r="U58" s="97"/>
      <c r="V58" s="97"/>
      <c r="W58" s="97"/>
      <c r="X58" s="97"/>
      <c r="Y58" s="97"/>
    </row>
    <row r="59" spans="1:25" ht="28.8" customHeight="1" x14ac:dyDescent="0.3">
      <c r="A59" s="97"/>
      <c r="B59" s="4">
        <f t="shared" si="1"/>
        <v>56</v>
      </c>
      <c r="C59" s="4" t="s">
        <v>366</v>
      </c>
      <c r="D59" s="4" t="s">
        <v>220</v>
      </c>
      <c r="E59" s="4"/>
      <c r="F59" s="4"/>
      <c r="G59" s="82" t="s">
        <v>216</v>
      </c>
      <c r="H59" s="82" t="s">
        <v>308</v>
      </c>
      <c r="I59" s="82" t="s">
        <v>216</v>
      </c>
      <c r="J59" s="82" t="s">
        <v>216</v>
      </c>
      <c r="K59" s="4" t="s">
        <v>214</v>
      </c>
      <c r="L59" s="97"/>
      <c r="M59" s="97"/>
      <c r="N59" s="97"/>
      <c r="O59" s="97"/>
      <c r="P59" s="97"/>
      <c r="Q59" s="97"/>
      <c r="R59" s="97"/>
      <c r="S59" s="97"/>
      <c r="T59" s="97"/>
      <c r="U59" s="97"/>
      <c r="V59" s="97"/>
      <c r="W59" s="97"/>
      <c r="X59" s="97"/>
      <c r="Y59" s="97"/>
    </row>
    <row r="60" spans="1:25" ht="28.8" customHeight="1" x14ac:dyDescent="0.3">
      <c r="A60" s="97"/>
      <c r="B60" s="4">
        <f t="shared" si="1"/>
        <v>57</v>
      </c>
      <c r="C60" s="4" t="s">
        <v>367</v>
      </c>
      <c r="D60" s="4" t="s">
        <v>225</v>
      </c>
      <c r="E60" s="4"/>
      <c r="F60" s="4"/>
      <c r="G60" s="82" t="s">
        <v>214</v>
      </c>
      <c r="H60" s="82" t="s">
        <v>313</v>
      </c>
      <c r="I60" s="82" t="s">
        <v>334</v>
      </c>
      <c r="J60" s="82" t="s">
        <v>216</v>
      </c>
      <c r="K60" s="4" t="s">
        <v>214</v>
      </c>
      <c r="L60" s="97"/>
      <c r="M60" s="97"/>
      <c r="N60" s="97"/>
      <c r="O60" s="97"/>
      <c r="P60" s="97"/>
      <c r="Q60" s="97"/>
      <c r="R60" s="97"/>
      <c r="S60" s="97"/>
      <c r="T60" s="97"/>
      <c r="U60" s="97"/>
      <c r="V60" s="97"/>
      <c r="W60" s="97"/>
      <c r="X60" s="97"/>
      <c r="Y60" s="97"/>
    </row>
    <row r="61" spans="1:25" ht="28.8" customHeight="1" x14ac:dyDescent="0.3">
      <c r="A61" s="97"/>
      <c r="B61" s="4">
        <f t="shared" si="1"/>
        <v>58</v>
      </c>
      <c r="C61" s="4" t="s">
        <v>368</v>
      </c>
      <c r="D61" s="4" t="s">
        <v>220</v>
      </c>
      <c r="E61" s="4"/>
      <c r="F61" s="4"/>
      <c r="G61" s="82" t="s">
        <v>214</v>
      </c>
      <c r="H61" s="82" t="s">
        <v>313</v>
      </c>
      <c r="I61" s="82" t="s">
        <v>216</v>
      </c>
      <c r="J61" s="82" t="s">
        <v>216</v>
      </c>
      <c r="K61" s="4" t="s">
        <v>214</v>
      </c>
      <c r="L61" s="97"/>
      <c r="M61" s="97"/>
      <c r="N61" s="97"/>
      <c r="O61" s="97"/>
      <c r="P61" s="97"/>
      <c r="Q61" s="97"/>
      <c r="R61" s="97"/>
      <c r="S61" s="97"/>
      <c r="T61" s="97"/>
      <c r="U61" s="97"/>
      <c r="V61" s="97"/>
      <c r="W61" s="97"/>
      <c r="X61" s="97"/>
      <c r="Y61" s="97"/>
    </row>
    <row r="62" spans="1:25" ht="28.8" customHeight="1" x14ac:dyDescent="0.3">
      <c r="A62" s="97"/>
      <c r="B62" s="4">
        <f t="shared" si="1"/>
        <v>59</v>
      </c>
      <c r="C62" s="4" t="s">
        <v>369</v>
      </c>
      <c r="D62" s="4" t="s">
        <v>220</v>
      </c>
      <c r="E62" s="4"/>
      <c r="F62" s="4"/>
      <c r="G62" s="82" t="s">
        <v>214</v>
      </c>
      <c r="H62" s="82" t="s">
        <v>313</v>
      </c>
      <c r="I62" s="82" t="s">
        <v>334</v>
      </c>
      <c r="J62" s="82" t="s">
        <v>216</v>
      </c>
      <c r="K62" s="4" t="s">
        <v>214</v>
      </c>
      <c r="L62" s="97"/>
      <c r="M62" s="97"/>
      <c r="N62" s="97"/>
      <c r="O62" s="97"/>
      <c r="P62" s="97"/>
      <c r="Q62" s="97"/>
      <c r="R62" s="97"/>
      <c r="S62" s="97"/>
      <c r="T62" s="97"/>
      <c r="U62" s="97"/>
      <c r="V62" s="97"/>
      <c r="W62" s="97"/>
      <c r="X62" s="97"/>
      <c r="Y62" s="97"/>
    </row>
    <row r="63" spans="1:25" ht="28.8" customHeight="1" x14ac:dyDescent="0.3">
      <c r="A63" s="97"/>
      <c r="B63" s="4">
        <f t="shared" si="1"/>
        <v>60</v>
      </c>
      <c r="C63" s="4" t="s">
        <v>370</v>
      </c>
      <c r="D63" s="4" t="s">
        <v>220</v>
      </c>
      <c r="E63" s="4"/>
      <c r="F63" s="4"/>
      <c r="G63" s="82" t="s">
        <v>214</v>
      </c>
      <c r="H63" s="82" t="s">
        <v>313</v>
      </c>
      <c r="I63" s="82" t="s">
        <v>216</v>
      </c>
      <c r="J63" s="82" t="s">
        <v>216</v>
      </c>
      <c r="K63" s="4" t="s">
        <v>214</v>
      </c>
      <c r="L63" s="97"/>
      <c r="M63" s="97"/>
      <c r="N63" s="97"/>
      <c r="O63" s="97"/>
      <c r="P63" s="97"/>
      <c r="Q63" s="97"/>
      <c r="R63" s="97"/>
      <c r="S63" s="97"/>
      <c r="T63" s="97"/>
      <c r="U63" s="97"/>
      <c r="V63" s="97"/>
      <c r="W63" s="97"/>
      <c r="X63" s="97"/>
      <c r="Y63" s="97"/>
    </row>
    <row r="64" spans="1:25" ht="28.8" customHeight="1" x14ac:dyDescent="0.3">
      <c r="A64" s="97"/>
      <c r="B64" s="4">
        <f t="shared" si="1"/>
        <v>61</v>
      </c>
      <c r="C64" s="4" t="s">
        <v>371</v>
      </c>
      <c r="D64" s="4" t="s">
        <v>220</v>
      </c>
      <c r="E64" s="4"/>
      <c r="F64" s="4"/>
      <c r="G64" s="82" t="s">
        <v>214</v>
      </c>
      <c r="H64" s="82" t="s">
        <v>313</v>
      </c>
      <c r="I64" s="82" t="s">
        <v>334</v>
      </c>
      <c r="J64" s="82" t="s">
        <v>216</v>
      </c>
      <c r="K64" s="4" t="s">
        <v>214</v>
      </c>
      <c r="L64" s="97"/>
      <c r="M64" s="97"/>
      <c r="N64" s="97"/>
      <c r="O64" s="97"/>
      <c r="P64" s="97"/>
      <c r="Q64" s="97"/>
      <c r="R64" s="97"/>
      <c r="S64" s="97"/>
      <c r="T64" s="97"/>
      <c r="U64" s="97"/>
      <c r="V64" s="97"/>
      <c r="W64" s="97"/>
      <c r="X64" s="97"/>
      <c r="Y64" s="97"/>
    </row>
    <row r="65" spans="1:25" ht="28.8" customHeight="1" x14ac:dyDescent="0.3">
      <c r="A65" s="97"/>
      <c r="B65" s="4">
        <f t="shared" si="1"/>
        <v>62</v>
      </c>
      <c r="C65" s="4" t="s">
        <v>372</v>
      </c>
      <c r="D65" s="4" t="s">
        <v>220</v>
      </c>
      <c r="E65" s="4"/>
      <c r="F65" s="4"/>
      <c r="G65" s="82" t="s">
        <v>214</v>
      </c>
      <c r="H65" s="82" t="s">
        <v>313</v>
      </c>
      <c r="I65" s="82" t="s">
        <v>334</v>
      </c>
      <c r="J65" s="82" t="s">
        <v>216</v>
      </c>
      <c r="K65" s="4" t="s">
        <v>214</v>
      </c>
      <c r="L65" s="97"/>
      <c r="M65" s="97"/>
      <c r="N65" s="97"/>
      <c r="O65" s="97"/>
      <c r="P65" s="97"/>
      <c r="Q65" s="97"/>
      <c r="R65" s="97"/>
      <c r="S65" s="97"/>
      <c r="T65" s="97"/>
      <c r="U65" s="97"/>
      <c r="V65" s="97"/>
      <c r="W65" s="97"/>
      <c r="X65" s="97"/>
      <c r="Y65" s="97"/>
    </row>
    <row r="66" spans="1:25" ht="28.8" customHeight="1" x14ac:dyDescent="0.3">
      <c r="A66" s="97"/>
      <c r="B66" s="4">
        <f t="shared" si="1"/>
        <v>63</v>
      </c>
      <c r="C66" s="4" t="s">
        <v>373</v>
      </c>
      <c r="D66" s="4" t="s">
        <v>220</v>
      </c>
      <c r="E66" s="4"/>
      <c r="F66" s="4"/>
      <c r="G66" s="82" t="s">
        <v>214</v>
      </c>
      <c r="H66" s="82" t="s">
        <v>313</v>
      </c>
      <c r="I66" s="82" t="s">
        <v>334</v>
      </c>
      <c r="J66" s="82" t="s">
        <v>334</v>
      </c>
      <c r="K66" s="4" t="s">
        <v>214</v>
      </c>
      <c r="L66" s="97"/>
      <c r="M66" s="97"/>
      <c r="N66" s="97"/>
      <c r="O66" s="97"/>
      <c r="P66" s="97"/>
      <c r="Q66" s="97"/>
      <c r="R66" s="97"/>
      <c r="S66" s="97"/>
      <c r="T66" s="97"/>
      <c r="U66" s="97"/>
      <c r="V66" s="97"/>
      <c r="W66" s="97"/>
      <c r="X66" s="97"/>
      <c r="Y66" s="97"/>
    </row>
    <row r="67" spans="1:25" ht="28.8" customHeight="1" x14ac:dyDescent="0.3">
      <c r="A67" s="97"/>
      <c r="B67" s="4">
        <f t="shared" si="1"/>
        <v>64</v>
      </c>
      <c r="C67" s="4" t="s">
        <v>374</v>
      </c>
      <c r="D67" s="4" t="s">
        <v>220</v>
      </c>
      <c r="E67" s="4"/>
      <c r="F67" s="4"/>
      <c r="G67" s="82" t="s">
        <v>214</v>
      </c>
      <c r="H67" s="82" t="s">
        <v>313</v>
      </c>
      <c r="I67" s="82" t="s">
        <v>334</v>
      </c>
      <c r="J67" s="82" t="s">
        <v>216</v>
      </c>
      <c r="K67" s="4" t="s">
        <v>214</v>
      </c>
      <c r="L67" s="97"/>
      <c r="M67" s="97"/>
      <c r="N67" s="97"/>
      <c r="O67" s="97"/>
      <c r="P67" s="97"/>
      <c r="Q67" s="97"/>
      <c r="R67" s="97"/>
      <c r="S67" s="97"/>
      <c r="T67" s="97"/>
      <c r="U67" s="97"/>
      <c r="V67" s="97"/>
      <c r="W67" s="97"/>
      <c r="X67" s="97"/>
      <c r="Y67" s="97"/>
    </row>
    <row r="68" spans="1:25" ht="28.8" customHeight="1" x14ac:dyDescent="0.3">
      <c r="A68" s="97"/>
      <c r="B68" s="4">
        <f t="shared" si="1"/>
        <v>65</v>
      </c>
      <c r="C68" s="4" t="s">
        <v>375</v>
      </c>
      <c r="D68" s="4" t="s">
        <v>220</v>
      </c>
      <c r="E68" s="4"/>
      <c r="F68" s="4"/>
      <c r="G68" s="82" t="s">
        <v>216</v>
      </c>
      <c r="H68" s="82" t="s">
        <v>308</v>
      </c>
      <c r="I68" s="82" t="s">
        <v>216</v>
      </c>
      <c r="J68" s="82" t="s">
        <v>216</v>
      </c>
      <c r="K68" s="4" t="s">
        <v>214</v>
      </c>
      <c r="L68" s="97"/>
      <c r="M68" s="97"/>
      <c r="N68" s="97"/>
      <c r="O68" s="97"/>
      <c r="P68" s="97"/>
      <c r="Q68" s="97"/>
      <c r="R68" s="97"/>
      <c r="S68" s="97"/>
      <c r="T68" s="97"/>
      <c r="U68" s="97"/>
      <c r="V68" s="97"/>
      <c r="W68" s="97"/>
      <c r="X68" s="97"/>
      <c r="Y68" s="97"/>
    </row>
    <row r="69" spans="1:25" ht="28.8" customHeight="1" x14ac:dyDescent="0.3">
      <c r="A69" s="97"/>
      <c r="B69" s="4">
        <f t="shared" si="1"/>
        <v>66</v>
      </c>
      <c r="C69" s="4" t="s">
        <v>376</v>
      </c>
      <c r="D69" s="82" t="s">
        <v>219</v>
      </c>
      <c r="E69" s="4"/>
      <c r="F69" s="4"/>
      <c r="G69" s="82" t="s">
        <v>214</v>
      </c>
      <c r="H69" s="82" t="s">
        <v>313</v>
      </c>
      <c r="I69" s="82" t="s">
        <v>216</v>
      </c>
      <c r="J69" s="82" t="s">
        <v>216</v>
      </c>
      <c r="K69" s="4" t="s">
        <v>214</v>
      </c>
      <c r="L69" s="97"/>
      <c r="M69" s="97"/>
      <c r="N69" s="97"/>
      <c r="O69" s="97"/>
      <c r="P69" s="97"/>
      <c r="Q69" s="97"/>
      <c r="R69" s="97"/>
      <c r="S69" s="97"/>
      <c r="T69" s="97"/>
      <c r="U69" s="97"/>
      <c r="V69" s="97"/>
      <c r="W69" s="97"/>
      <c r="X69" s="97"/>
      <c r="Y69" s="97"/>
    </row>
    <row r="70" spans="1:25" ht="28.8" customHeight="1" x14ac:dyDescent="0.3">
      <c r="A70" s="97"/>
      <c r="B70" s="4">
        <f t="shared" si="1"/>
        <v>67</v>
      </c>
      <c r="C70" s="4" t="s">
        <v>377</v>
      </c>
      <c r="D70" s="82" t="s">
        <v>219</v>
      </c>
      <c r="E70" s="4"/>
      <c r="F70" s="4"/>
      <c r="G70" s="82" t="s">
        <v>214</v>
      </c>
      <c r="H70" s="82" t="s">
        <v>313</v>
      </c>
      <c r="I70" s="82" t="s">
        <v>216</v>
      </c>
      <c r="J70" s="82" t="s">
        <v>216</v>
      </c>
      <c r="K70" s="4" t="s">
        <v>214</v>
      </c>
      <c r="L70" s="97"/>
      <c r="M70" s="97"/>
      <c r="N70" s="97"/>
      <c r="O70" s="97"/>
      <c r="P70" s="97"/>
      <c r="Q70" s="97"/>
      <c r="R70" s="97"/>
      <c r="S70" s="97"/>
      <c r="T70" s="97"/>
      <c r="U70" s="97"/>
      <c r="V70" s="97"/>
      <c r="W70" s="97"/>
      <c r="X70" s="97"/>
      <c r="Y70" s="97"/>
    </row>
    <row r="71" spans="1:25" ht="29.55" customHeight="1" x14ac:dyDescent="0.3">
      <c r="A71" s="97"/>
      <c r="B71" s="3">
        <f t="shared" si="1"/>
        <v>68</v>
      </c>
      <c r="C71" s="3" t="s">
        <v>378</v>
      </c>
      <c r="D71" s="267" t="s">
        <v>219</v>
      </c>
      <c r="E71" s="3"/>
      <c r="F71" s="3"/>
      <c r="G71" s="267" t="s">
        <v>216</v>
      </c>
      <c r="H71" s="267" t="s">
        <v>308</v>
      </c>
      <c r="I71" s="267" t="s">
        <v>216</v>
      </c>
      <c r="J71" s="267" t="s">
        <v>216</v>
      </c>
      <c r="K71" s="4" t="s">
        <v>214</v>
      </c>
      <c r="L71" s="97"/>
      <c r="M71" s="97"/>
      <c r="N71" s="97"/>
      <c r="O71" s="97"/>
      <c r="P71" s="97"/>
      <c r="Q71" s="97"/>
      <c r="R71" s="97"/>
      <c r="S71" s="97"/>
      <c r="T71" s="97"/>
      <c r="U71" s="97"/>
      <c r="V71" s="97"/>
      <c r="W71" s="97"/>
      <c r="X71" s="97"/>
      <c r="Y71" s="97"/>
    </row>
    <row r="72" spans="1:25" ht="28.8" customHeight="1" x14ac:dyDescent="0.3">
      <c r="A72" s="97"/>
      <c r="B72" s="250">
        <f t="shared" si="1"/>
        <v>69</v>
      </c>
      <c r="C72" s="250" t="s">
        <v>244</v>
      </c>
      <c r="D72" s="250" t="s">
        <v>237</v>
      </c>
      <c r="E72" s="250"/>
      <c r="F72" s="250"/>
      <c r="G72" s="389" t="s">
        <v>216</v>
      </c>
      <c r="H72" s="389" t="s">
        <v>313</v>
      </c>
      <c r="I72" s="389" t="s">
        <v>214</v>
      </c>
      <c r="J72" s="389" t="s">
        <v>214</v>
      </c>
      <c r="K72" s="4" t="s">
        <v>214</v>
      </c>
      <c r="L72" s="97"/>
      <c r="M72" s="97"/>
      <c r="N72" s="97"/>
      <c r="O72" s="97"/>
      <c r="P72" s="97"/>
      <c r="Q72" s="97"/>
      <c r="R72" s="97"/>
      <c r="S72" s="97"/>
      <c r="T72" s="97"/>
      <c r="U72" s="97"/>
      <c r="V72" s="97"/>
      <c r="W72" s="97"/>
      <c r="X72" s="97"/>
      <c r="Y72" s="97"/>
    </row>
    <row r="73" spans="1:25" ht="28.8" customHeight="1" x14ac:dyDescent="0.3">
      <c r="A73" s="97"/>
      <c r="B73" s="4">
        <f t="shared" ref="B73:B102" si="2">B72+1</f>
        <v>70</v>
      </c>
      <c r="C73" s="4" t="s">
        <v>245</v>
      </c>
      <c r="D73" s="4" t="s">
        <v>237</v>
      </c>
      <c r="E73" s="4"/>
      <c r="F73" s="4"/>
      <c r="G73" s="82" t="s">
        <v>216</v>
      </c>
      <c r="H73" s="82" t="s">
        <v>313</v>
      </c>
      <c r="I73" s="82" t="s">
        <v>214</v>
      </c>
      <c r="J73" s="82" t="s">
        <v>214</v>
      </c>
      <c r="K73" s="4" t="s">
        <v>214</v>
      </c>
      <c r="L73" s="97"/>
      <c r="M73" s="97"/>
      <c r="N73" s="97"/>
      <c r="O73" s="97"/>
      <c r="P73" s="97"/>
      <c r="Q73" s="97"/>
      <c r="R73" s="97"/>
      <c r="S73" s="97"/>
      <c r="T73" s="97"/>
      <c r="U73" s="97"/>
      <c r="V73" s="97"/>
      <c r="W73" s="97"/>
      <c r="X73" s="97"/>
      <c r="Y73" s="97"/>
    </row>
    <row r="74" spans="1:25" ht="28.8" customHeight="1" x14ac:dyDescent="0.3">
      <c r="A74" s="97"/>
      <c r="B74" s="4">
        <f t="shared" si="2"/>
        <v>71</v>
      </c>
      <c r="C74" s="4" t="s">
        <v>246</v>
      </c>
      <c r="D74" s="4" t="s">
        <v>237</v>
      </c>
      <c r="E74" s="4"/>
      <c r="F74" s="4"/>
      <c r="G74" s="82" t="s">
        <v>216</v>
      </c>
      <c r="H74" s="82" t="s">
        <v>313</v>
      </c>
      <c r="I74" s="82" t="s">
        <v>214</v>
      </c>
      <c r="J74" s="82" t="s">
        <v>214</v>
      </c>
      <c r="K74" s="4" t="s">
        <v>214</v>
      </c>
      <c r="L74" s="97"/>
      <c r="M74" s="97"/>
      <c r="N74" s="97"/>
      <c r="O74" s="97"/>
      <c r="P74" s="97"/>
      <c r="Q74" s="97"/>
      <c r="R74" s="97"/>
      <c r="S74" s="97"/>
      <c r="T74" s="97"/>
      <c r="U74" s="97"/>
      <c r="V74" s="97"/>
      <c r="W74" s="97"/>
      <c r="X74" s="97"/>
      <c r="Y74" s="97"/>
    </row>
    <row r="75" spans="1:25" ht="28.8" customHeight="1" x14ac:dyDescent="0.3">
      <c r="A75" s="97"/>
      <c r="B75" s="4">
        <f t="shared" si="2"/>
        <v>72</v>
      </c>
      <c r="C75" s="4" t="s">
        <v>250</v>
      </c>
      <c r="D75" s="4" t="s">
        <v>237</v>
      </c>
      <c r="E75" s="4"/>
      <c r="F75" s="4"/>
      <c r="G75" s="82" t="s">
        <v>214</v>
      </c>
      <c r="H75" s="82" t="s">
        <v>313</v>
      </c>
      <c r="I75" s="82" t="s">
        <v>214</v>
      </c>
      <c r="J75" s="82" t="s">
        <v>214</v>
      </c>
      <c r="K75" s="4" t="s">
        <v>214</v>
      </c>
      <c r="L75" s="97"/>
      <c r="M75" s="97"/>
      <c r="N75" s="97"/>
      <c r="O75" s="97"/>
      <c r="P75" s="97"/>
      <c r="Q75" s="97"/>
      <c r="R75" s="97"/>
      <c r="S75" s="97"/>
      <c r="T75" s="97"/>
      <c r="U75" s="97"/>
      <c r="V75" s="97"/>
      <c r="W75" s="97"/>
      <c r="X75" s="97"/>
      <c r="Y75" s="97"/>
    </row>
    <row r="76" spans="1:25" ht="29.55" customHeight="1" x14ac:dyDescent="0.3">
      <c r="A76" s="97"/>
      <c r="B76" s="4">
        <f t="shared" si="2"/>
        <v>73</v>
      </c>
      <c r="C76" s="4" t="s">
        <v>254</v>
      </c>
      <c r="D76" s="4" t="s">
        <v>237</v>
      </c>
      <c r="E76" s="4"/>
      <c r="F76" s="4"/>
      <c r="G76" s="82" t="s">
        <v>342</v>
      </c>
      <c r="H76" s="82" t="s">
        <v>343</v>
      </c>
      <c r="I76" s="82" t="s">
        <v>214</v>
      </c>
      <c r="J76" s="82" t="s">
        <v>214</v>
      </c>
      <c r="K76" s="4" t="s">
        <v>214</v>
      </c>
      <c r="L76" s="97"/>
      <c r="M76" s="97"/>
      <c r="N76" s="97"/>
      <c r="O76" s="97"/>
      <c r="P76" s="97"/>
      <c r="Q76" s="97"/>
      <c r="R76" s="97"/>
      <c r="S76" s="97"/>
      <c r="T76" s="97"/>
      <c r="U76" s="97"/>
      <c r="V76" s="97"/>
      <c r="W76" s="97"/>
      <c r="X76" s="97"/>
      <c r="Y76" s="97"/>
    </row>
    <row r="77" spans="1:25" ht="28.8" customHeight="1" x14ac:dyDescent="0.3">
      <c r="A77" s="97"/>
      <c r="B77" s="4">
        <f t="shared" si="2"/>
        <v>74</v>
      </c>
      <c r="C77" s="4" t="s">
        <v>251</v>
      </c>
      <c r="D77" s="4" t="s">
        <v>237</v>
      </c>
      <c r="E77" s="4"/>
      <c r="F77" s="4"/>
      <c r="G77" s="82" t="s">
        <v>214</v>
      </c>
      <c r="H77" s="82" t="s">
        <v>313</v>
      </c>
      <c r="I77" s="82" t="s">
        <v>214</v>
      </c>
      <c r="J77" s="82" t="s">
        <v>214</v>
      </c>
      <c r="K77" s="4" t="s">
        <v>214</v>
      </c>
      <c r="L77" s="97"/>
      <c r="M77" s="97"/>
      <c r="N77" s="97"/>
      <c r="O77" s="97"/>
      <c r="P77" s="97"/>
      <c r="Q77" s="97"/>
      <c r="R77" s="97"/>
      <c r="S77" s="97"/>
      <c r="T77" s="97"/>
      <c r="U77" s="97"/>
      <c r="V77" s="97"/>
      <c r="W77" s="97"/>
      <c r="X77" s="97"/>
      <c r="Y77" s="97"/>
    </row>
    <row r="78" spans="1:25" ht="28.8" customHeight="1" x14ac:dyDescent="0.3">
      <c r="A78" s="97"/>
      <c r="B78" s="4">
        <f t="shared" si="2"/>
        <v>75</v>
      </c>
      <c r="C78" s="4" t="s">
        <v>247</v>
      </c>
      <c r="D78" s="4" t="s">
        <v>237</v>
      </c>
      <c r="E78" s="4"/>
      <c r="F78" s="4"/>
      <c r="G78" s="82" t="s">
        <v>216</v>
      </c>
      <c r="H78" s="82" t="s">
        <v>313</v>
      </c>
      <c r="I78" s="82" t="s">
        <v>214</v>
      </c>
      <c r="J78" s="82" t="s">
        <v>214</v>
      </c>
      <c r="K78" s="4" t="s">
        <v>214</v>
      </c>
      <c r="L78" s="97"/>
      <c r="M78" s="97"/>
      <c r="N78" s="97"/>
      <c r="O78" s="97"/>
      <c r="P78" s="97"/>
      <c r="Q78" s="97"/>
      <c r="R78" s="97"/>
      <c r="S78" s="97"/>
      <c r="T78" s="97"/>
      <c r="U78" s="97"/>
      <c r="V78" s="97"/>
      <c r="W78" s="97"/>
      <c r="X78" s="97"/>
      <c r="Y78" s="97"/>
    </row>
    <row r="79" spans="1:25" ht="28.8" customHeight="1" x14ac:dyDescent="0.3">
      <c r="A79" s="97"/>
      <c r="B79" s="4">
        <f t="shared" si="2"/>
        <v>76</v>
      </c>
      <c r="C79" s="4" t="s">
        <v>252</v>
      </c>
      <c r="D79" s="4" t="s">
        <v>237</v>
      </c>
      <c r="E79" s="4"/>
      <c r="F79" s="4"/>
      <c r="G79" s="82" t="s">
        <v>214</v>
      </c>
      <c r="H79" s="82" t="s">
        <v>313</v>
      </c>
      <c r="I79" s="82" t="s">
        <v>214</v>
      </c>
      <c r="J79" s="82" t="s">
        <v>214</v>
      </c>
      <c r="K79" s="4" t="s">
        <v>214</v>
      </c>
      <c r="L79" s="97"/>
      <c r="M79" s="97"/>
      <c r="N79" s="97"/>
      <c r="O79" s="97"/>
      <c r="P79" s="97"/>
      <c r="Q79" s="97"/>
      <c r="R79" s="97"/>
      <c r="S79" s="97"/>
      <c r="T79" s="97"/>
      <c r="U79" s="97"/>
      <c r="V79" s="97"/>
      <c r="W79" s="97"/>
      <c r="X79" s="97"/>
      <c r="Y79" s="97"/>
    </row>
    <row r="80" spans="1:25" ht="29.55" customHeight="1" x14ac:dyDescent="0.3">
      <c r="A80" s="97"/>
      <c r="B80" s="3">
        <f t="shared" si="2"/>
        <v>77</v>
      </c>
      <c r="C80" s="3" t="s">
        <v>248</v>
      </c>
      <c r="D80" s="3" t="s">
        <v>237</v>
      </c>
      <c r="E80" s="3"/>
      <c r="F80" s="3"/>
      <c r="G80" s="267" t="s">
        <v>216</v>
      </c>
      <c r="H80" s="267" t="s">
        <v>313</v>
      </c>
      <c r="I80" s="267" t="s">
        <v>214</v>
      </c>
      <c r="J80" s="267" t="s">
        <v>214</v>
      </c>
      <c r="K80" s="4" t="s">
        <v>214</v>
      </c>
      <c r="L80" s="97"/>
      <c r="M80" s="97"/>
      <c r="N80" s="97"/>
      <c r="O80" s="97"/>
      <c r="P80" s="97"/>
      <c r="Q80" s="97"/>
      <c r="R80" s="97"/>
      <c r="S80" s="97"/>
      <c r="T80" s="97"/>
      <c r="U80" s="97"/>
      <c r="V80" s="97"/>
      <c r="W80" s="97"/>
      <c r="X80" s="97"/>
      <c r="Y80" s="97"/>
    </row>
    <row r="81" spans="1:25" x14ac:dyDescent="0.3">
      <c r="A81" s="97"/>
      <c r="B81" s="5">
        <f t="shared" si="2"/>
        <v>78</v>
      </c>
      <c r="C81" s="5" t="s">
        <v>271</v>
      </c>
      <c r="D81" s="5" t="s">
        <v>379</v>
      </c>
      <c r="E81" s="5"/>
      <c r="F81" s="5"/>
      <c r="G81" s="5" t="s">
        <v>216</v>
      </c>
      <c r="H81" s="538" t="s">
        <v>380</v>
      </c>
      <c r="I81" s="5" t="s">
        <v>216</v>
      </c>
      <c r="J81" s="264" t="s">
        <v>214</v>
      </c>
      <c r="K81" s="4" t="s">
        <v>214</v>
      </c>
      <c r="L81" s="97"/>
      <c r="M81" s="97"/>
      <c r="N81" s="97"/>
      <c r="O81" s="97"/>
      <c r="P81" s="97"/>
      <c r="Q81" s="97"/>
      <c r="R81" s="97"/>
      <c r="S81" s="97"/>
      <c r="T81" s="97"/>
      <c r="U81" s="97"/>
      <c r="V81" s="97"/>
      <c r="W81" s="97"/>
      <c r="X81" s="97"/>
      <c r="Y81" s="97"/>
    </row>
    <row r="82" spans="1:25" x14ac:dyDescent="0.3">
      <c r="A82" s="97"/>
      <c r="B82" s="4">
        <f t="shared" si="2"/>
        <v>79</v>
      </c>
      <c r="C82" s="4" t="s">
        <v>270</v>
      </c>
      <c r="D82" s="4" t="s">
        <v>379</v>
      </c>
      <c r="E82" s="4"/>
      <c r="F82" s="4"/>
      <c r="G82" s="4" t="s">
        <v>216</v>
      </c>
      <c r="H82" s="82" t="s">
        <v>380</v>
      </c>
      <c r="I82" s="4" t="s">
        <v>216</v>
      </c>
      <c r="J82" s="82" t="s">
        <v>214</v>
      </c>
      <c r="K82" s="4" t="s">
        <v>214</v>
      </c>
      <c r="L82" s="97"/>
      <c r="M82" s="97"/>
      <c r="N82" s="97"/>
      <c r="O82" s="97"/>
      <c r="P82" s="97"/>
      <c r="Q82" s="97"/>
      <c r="R82" s="97"/>
      <c r="S82" s="97"/>
      <c r="T82" s="97"/>
      <c r="U82" s="97"/>
      <c r="V82" s="97"/>
      <c r="W82" s="97"/>
      <c r="X82" s="97"/>
      <c r="Y82" s="97"/>
    </row>
    <row r="83" spans="1:25" ht="15" customHeight="1" x14ac:dyDescent="0.3">
      <c r="A83" s="97"/>
      <c r="B83" s="3">
        <f t="shared" si="2"/>
        <v>80</v>
      </c>
      <c r="C83" s="3" t="s">
        <v>272</v>
      </c>
      <c r="D83" s="3" t="s">
        <v>379</v>
      </c>
      <c r="E83" s="3"/>
      <c r="F83" s="3"/>
      <c r="G83" s="3" t="s">
        <v>214</v>
      </c>
      <c r="H83" s="539" t="s">
        <v>381</v>
      </c>
      <c r="I83" s="3" t="s">
        <v>216</v>
      </c>
      <c r="J83" s="267" t="s">
        <v>382</v>
      </c>
      <c r="K83" s="4" t="s">
        <v>214</v>
      </c>
      <c r="L83" s="97"/>
      <c r="M83" s="97"/>
      <c r="N83" s="97"/>
      <c r="O83" s="97"/>
      <c r="P83" s="97"/>
      <c r="Q83" s="97"/>
      <c r="R83" s="97"/>
      <c r="S83" s="97"/>
      <c r="T83" s="97"/>
      <c r="U83" s="97"/>
      <c r="V83" s="97"/>
      <c r="W83" s="97"/>
      <c r="X83" s="97"/>
      <c r="Y83" s="97"/>
    </row>
    <row r="84" spans="1:25" x14ac:dyDescent="0.3">
      <c r="A84" s="97"/>
      <c r="B84" s="250">
        <f t="shared" si="2"/>
        <v>81</v>
      </c>
      <c r="C84" s="250"/>
      <c r="D84" s="250"/>
      <c r="E84" s="537"/>
      <c r="F84" s="537"/>
      <c r="G84" s="250"/>
      <c r="H84" s="389"/>
      <c r="I84" s="537"/>
      <c r="J84" s="537"/>
      <c r="K84" s="4" t="s">
        <v>214</v>
      </c>
      <c r="L84" s="97"/>
      <c r="M84" s="97"/>
      <c r="N84" s="97"/>
      <c r="O84" s="97"/>
      <c r="P84" s="97"/>
      <c r="Q84" s="97"/>
      <c r="R84" s="97"/>
      <c r="S84" s="97"/>
      <c r="T84" s="97"/>
      <c r="U84" s="97"/>
      <c r="V84" s="97"/>
      <c r="W84" s="97"/>
      <c r="X84" s="97"/>
      <c r="Y84" s="97"/>
    </row>
    <row r="85" spans="1:25" x14ac:dyDescent="0.3">
      <c r="A85" s="97"/>
      <c r="B85" s="4">
        <f t="shared" si="2"/>
        <v>82</v>
      </c>
      <c r="C85" s="89"/>
      <c r="D85" s="4"/>
      <c r="E85" s="89"/>
      <c r="F85" s="89"/>
      <c r="G85" s="4"/>
      <c r="H85" s="82"/>
      <c r="I85" s="89"/>
      <c r="J85" s="89"/>
      <c r="K85" s="4"/>
      <c r="L85" s="97"/>
      <c r="M85" s="97"/>
      <c r="N85" s="97"/>
      <c r="O85" s="97"/>
      <c r="P85" s="97"/>
      <c r="Q85" s="97"/>
      <c r="R85" s="97"/>
      <c r="S85" s="97"/>
      <c r="T85" s="97"/>
      <c r="U85" s="97"/>
      <c r="V85" s="97"/>
      <c r="W85" s="97"/>
      <c r="X85" s="97"/>
      <c r="Y85" s="97"/>
    </row>
    <row r="86" spans="1:25" x14ac:dyDescent="0.3">
      <c r="A86" s="97"/>
      <c r="B86" s="4">
        <f t="shared" si="2"/>
        <v>83</v>
      </c>
      <c r="C86" s="89"/>
      <c r="D86" s="4"/>
      <c r="E86" s="89"/>
      <c r="F86" s="89"/>
      <c r="G86" s="4"/>
      <c r="H86" s="82"/>
      <c r="I86" s="89"/>
      <c r="J86" s="89"/>
      <c r="K86" s="4"/>
      <c r="L86" s="97"/>
      <c r="M86" s="97"/>
      <c r="N86" s="97"/>
      <c r="O86" s="97"/>
      <c r="P86" s="97"/>
      <c r="Q86" s="97"/>
      <c r="R86" s="97"/>
      <c r="S86" s="97"/>
      <c r="T86" s="97"/>
      <c r="U86" s="97"/>
      <c r="V86" s="97"/>
      <c r="W86" s="97"/>
      <c r="X86" s="97"/>
      <c r="Y86" s="97"/>
    </row>
    <row r="87" spans="1:25" x14ac:dyDescent="0.3">
      <c r="A87" s="97"/>
      <c r="B87" s="4">
        <f t="shared" si="2"/>
        <v>84</v>
      </c>
      <c r="C87" s="89"/>
      <c r="D87" s="4"/>
      <c r="E87" s="89"/>
      <c r="F87" s="89"/>
      <c r="G87" s="4"/>
      <c r="H87" s="82"/>
      <c r="I87" s="89"/>
      <c r="J87" s="89"/>
      <c r="K87" s="4"/>
      <c r="L87" s="97"/>
      <c r="M87" s="97"/>
      <c r="N87" s="97"/>
      <c r="O87" s="97"/>
      <c r="P87" s="97"/>
      <c r="Q87" s="97"/>
      <c r="R87" s="97"/>
      <c r="S87" s="97"/>
      <c r="T87" s="97"/>
      <c r="U87" s="97"/>
      <c r="V87" s="97"/>
      <c r="W87" s="97"/>
      <c r="X87" s="97"/>
      <c r="Y87" s="97"/>
    </row>
    <row r="88" spans="1:25" x14ac:dyDescent="0.3">
      <c r="A88" s="97"/>
      <c r="B88" s="4">
        <f t="shared" si="2"/>
        <v>85</v>
      </c>
      <c r="C88" s="89"/>
      <c r="D88" s="4"/>
      <c r="E88" s="89"/>
      <c r="F88" s="89"/>
      <c r="G88" s="4"/>
      <c r="H88" s="82"/>
      <c r="I88" s="89"/>
      <c r="J88" s="89"/>
      <c r="K88" s="4"/>
      <c r="L88" s="97"/>
      <c r="M88" s="97"/>
      <c r="N88" s="97"/>
      <c r="O88" s="97"/>
      <c r="P88" s="97"/>
      <c r="Q88" s="97"/>
      <c r="R88" s="97"/>
      <c r="S88" s="97"/>
      <c r="T88" s="97"/>
      <c r="U88" s="97"/>
      <c r="V88" s="97"/>
      <c r="W88" s="97"/>
      <c r="X88" s="97"/>
      <c r="Y88" s="97"/>
    </row>
    <row r="89" spans="1:25" x14ac:dyDescent="0.3">
      <c r="A89" s="97"/>
      <c r="B89" s="4">
        <f t="shared" si="2"/>
        <v>86</v>
      </c>
      <c r="C89" s="89"/>
      <c r="D89" s="4"/>
      <c r="E89" s="89"/>
      <c r="F89" s="89"/>
      <c r="G89" s="4"/>
      <c r="H89" s="82"/>
      <c r="I89" s="89"/>
      <c r="J89" s="89"/>
      <c r="K89" s="4"/>
      <c r="L89" s="97"/>
      <c r="M89" s="97"/>
      <c r="N89" s="97"/>
      <c r="O89" s="97"/>
      <c r="P89" s="97"/>
      <c r="Q89" s="97"/>
      <c r="R89" s="97"/>
      <c r="S89" s="97"/>
      <c r="T89" s="97"/>
      <c r="U89" s="97"/>
      <c r="V89" s="97"/>
      <c r="W89" s="97"/>
      <c r="X89" s="97"/>
      <c r="Y89" s="97"/>
    </row>
    <row r="90" spans="1:25" x14ac:dyDescent="0.3">
      <c r="A90" s="97"/>
      <c r="B90" s="4">
        <f t="shared" si="2"/>
        <v>87</v>
      </c>
      <c r="C90" s="89"/>
      <c r="D90" s="4"/>
      <c r="E90" s="89"/>
      <c r="F90" s="89"/>
      <c r="G90" s="4"/>
      <c r="H90" s="82"/>
      <c r="I90" s="89"/>
      <c r="J90" s="89"/>
      <c r="K90" s="4"/>
      <c r="L90" s="97"/>
      <c r="M90" s="97"/>
      <c r="N90" s="97"/>
      <c r="O90" s="97"/>
      <c r="P90" s="97"/>
      <c r="Q90" s="97"/>
      <c r="R90" s="97"/>
      <c r="S90" s="97"/>
      <c r="T90" s="97"/>
      <c r="U90" s="97"/>
      <c r="V90" s="97"/>
      <c r="W90" s="97"/>
      <c r="X90" s="97"/>
      <c r="Y90" s="97"/>
    </row>
    <row r="91" spans="1:25" x14ac:dyDescent="0.3">
      <c r="A91" s="97"/>
      <c r="B91" s="4">
        <f t="shared" si="2"/>
        <v>88</v>
      </c>
      <c r="C91" s="89"/>
      <c r="D91" s="4"/>
      <c r="E91" s="89"/>
      <c r="F91" s="89"/>
      <c r="G91" s="4"/>
      <c r="H91" s="82"/>
      <c r="I91" s="89"/>
      <c r="J91" s="89"/>
      <c r="K91" s="4"/>
      <c r="L91" s="97"/>
      <c r="M91" s="97"/>
      <c r="N91" s="97"/>
      <c r="O91" s="97"/>
      <c r="P91" s="97"/>
      <c r="Q91" s="97"/>
      <c r="R91" s="97"/>
      <c r="S91" s="97"/>
      <c r="T91" s="97"/>
      <c r="U91" s="97"/>
      <c r="V91" s="97"/>
      <c r="W91" s="97"/>
      <c r="X91" s="97"/>
      <c r="Y91" s="97"/>
    </row>
    <row r="92" spans="1:25" x14ac:dyDescent="0.3">
      <c r="A92" s="97"/>
      <c r="B92" s="4">
        <f t="shared" si="2"/>
        <v>89</v>
      </c>
      <c r="C92" s="89"/>
      <c r="D92" s="4"/>
      <c r="E92" s="89"/>
      <c r="F92" s="89"/>
      <c r="G92" s="4"/>
      <c r="H92" s="82"/>
      <c r="I92" s="89"/>
      <c r="J92" s="89"/>
      <c r="K92" s="4"/>
      <c r="L92" s="97"/>
      <c r="M92" s="97"/>
      <c r="N92" s="97"/>
      <c r="O92" s="97"/>
      <c r="P92" s="97"/>
      <c r="Q92" s="97"/>
      <c r="R92" s="97"/>
      <c r="S92" s="97"/>
      <c r="T92" s="97"/>
      <c r="U92" s="97"/>
      <c r="V92" s="97"/>
      <c r="W92" s="97"/>
      <c r="X92" s="97"/>
      <c r="Y92" s="97"/>
    </row>
    <row r="93" spans="1:25" x14ac:dyDescent="0.3">
      <c r="A93" s="97"/>
      <c r="B93" s="4">
        <f t="shared" si="2"/>
        <v>90</v>
      </c>
      <c r="C93" s="89"/>
      <c r="D93" s="4"/>
      <c r="E93" s="89"/>
      <c r="F93" s="89"/>
      <c r="G93" s="4"/>
      <c r="H93" s="82"/>
      <c r="I93" s="89"/>
      <c r="J93" s="89"/>
      <c r="K93" s="4"/>
      <c r="L93" s="97"/>
      <c r="M93" s="97"/>
      <c r="N93" s="97"/>
      <c r="O93" s="97"/>
      <c r="P93" s="97"/>
      <c r="Q93" s="97"/>
      <c r="R93" s="97"/>
      <c r="S93" s="97"/>
      <c r="T93" s="97"/>
      <c r="U93" s="97"/>
      <c r="V93" s="97"/>
      <c r="W93" s="97"/>
      <c r="X93" s="97"/>
      <c r="Y93" s="97"/>
    </row>
    <row r="94" spans="1:25" x14ac:dyDescent="0.3">
      <c r="A94" s="97"/>
      <c r="B94" s="4">
        <f t="shared" si="2"/>
        <v>91</v>
      </c>
      <c r="C94" s="89"/>
      <c r="D94" s="4"/>
      <c r="E94" s="89"/>
      <c r="F94" s="89"/>
      <c r="G94" s="4"/>
      <c r="H94" s="82"/>
      <c r="I94" s="89"/>
      <c r="J94" s="89"/>
      <c r="K94" s="4"/>
      <c r="L94" s="97"/>
      <c r="M94" s="97"/>
      <c r="N94" s="97"/>
      <c r="O94" s="97"/>
      <c r="P94" s="97"/>
      <c r="Q94" s="97"/>
      <c r="R94" s="97"/>
      <c r="S94" s="97"/>
      <c r="T94" s="97"/>
      <c r="U94" s="97"/>
      <c r="V94" s="97"/>
      <c r="W94" s="97"/>
      <c r="X94" s="97"/>
      <c r="Y94" s="97"/>
    </row>
    <row r="95" spans="1:25" x14ac:dyDescent="0.3">
      <c r="A95" s="97"/>
      <c r="B95" s="4">
        <f t="shared" si="2"/>
        <v>92</v>
      </c>
      <c r="C95" s="89"/>
      <c r="D95" s="4"/>
      <c r="E95" s="89"/>
      <c r="F95" s="89"/>
      <c r="G95" s="4"/>
      <c r="H95" s="82"/>
      <c r="I95" s="89"/>
      <c r="J95" s="89"/>
      <c r="K95" s="4"/>
      <c r="L95" s="97"/>
      <c r="M95" s="97"/>
      <c r="N95" s="97"/>
      <c r="O95" s="97"/>
      <c r="P95" s="97"/>
      <c r="Q95" s="97"/>
      <c r="R95" s="97"/>
      <c r="S95" s="97"/>
      <c r="T95" s="97"/>
      <c r="U95" s="97"/>
      <c r="V95" s="97"/>
      <c r="W95" s="97"/>
      <c r="X95" s="97"/>
      <c r="Y95" s="97"/>
    </row>
    <row r="96" spans="1:25" x14ac:dyDescent="0.3">
      <c r="A96" s="97"/>
      <c r="B96" s="4">
        <f t="shared" si="2"/>
        <v>93</v>
      </c>
      <c r="C96" s="89"/>
      <c r="D96" s="4"/>
      <c r="E96" s="89"/>
      <c r="F96" s="89"/>
      <c r="G96" s="4"/>
      <c r="H96" s="82"/>
      <c r="I96" s="89"/>
      <c r="J96" s="89"/>
      <c r="K96" s="4"/>
      <c r="L96" s="97"/>
      <c r="M96" s="97"/>
      <c r="N96" s="97"/>
      <c r="O96" s="97"/>
      <c r="P96" s="97"/>
      <c r="Q96" s="97"/>
      <c r="R96" s="97"/>
      <c r="S96" s="97"/>
      <c r="T96" s="97"/>
      <c r="U96" s="97"/>
      <c r="V96" s="97"/>
      <c r="W96" s="97"/>
      <c r="X96" s="97"/>
      <c r="Y96" s="97"/>
    </row>
    <row r="97" spans="1:25" x14ac:dyDescent="0.3">
      <c r="A97" s="97"/>
      <c r="B97" s="4">
        <f t="shared" si="2"/>
        <v>94</v>
      </c>
      <c r="C97" s="89"/>
      <c r="D97" s="4"/>
      <c r="E97" s="89"/>
      <c r="F97" s="89"/>
      <c r="G97" s="4"/>
      <c r="H97" s="82"/>
      <c r="I97" s="89"/>
      <c r="J97" s="89"/>
      <c r="K97" s="4"/>
      <c r="L97" s="97"/>
      <c r="M97" s="97"/>
      <c r="N97" s="97"/>
      <c r="O97" s="97"/>
      <c r="P97" s="97"/>
      <c r="Q97" s="97"/>
      <c r="R97" s="97"/>
      <c r="S97" s="97"/>
      <c r="T97" s="97"/>
      <c r="U97" s="97"/>
      <c r="V97" s="97"/>
      <c r="W97" s="97"/>
      <c r="X97" s="97"/>
      <c r="Y97" s="97"/>
    </row>
    <row r="98" spans="1:25" x14ac:dyDescent="0.3">
      <c r="A98" s="97"/>
      <c r="B98" s="4">
        <f t="shared" si="2"/>
        <v>95</v>
      </c>
      <c r="C98" s="89"/>
      <c r="D98" s="4"/>
      <c r="E98" s="89"/>
      <c r="F98" s="89"/>
      <c r="G98" s="4"/>
      <c r="H98" s="82"/>
      <c r="I98" s="89"/>
      <c r="J98" s="89"/>
      <c r="K98" s="4"/>
      <c r="L98" s="97"/>
      <c r="M98" s="97"/>
      <c r="N98" s="97"/>
      <c r="O98" s="97"/>
      <c r="P98" s="97"/>
      <c r="Q98" s="97"/>
      <c r="R98" s="97"/>
      <c r="S98" s="97"/>
      <c r="T98" s="97"/>
      <c r="U98" s="97"/>
      <c r="V98" s="97"/>
      <c r="W98" s="97"/>
      <c r="X98" s="97"/>
      <c r="Y98" s="97"/>
    </row>
    <row r="99" spans="1:25" x14ac:dyDescent="0.3">
      <c r="A99" s="97"/>
      <c r="B99" s="4">
        <f t="shared" si="2"/>
        <v>96</v>
      </c>
      <c r="C99" s="89"/>
      <c r="D99" s="4"/>
      <c r="E99" s="89"/>
      <c r="F99" s="89"/>
      <c r="G99" s="4"/>
      <c r="H99" s="82"/>
      <c r="I99" s="89"/>
      <c r="J99" s="89"/>
      <c r="K99" s="4"/>
      <c r="L99" s="97"/>
      <c r="M99" s="97"/>
      <c r="N99" s="97"/>
      <c r="O99" s="97"/>
      <c r="P99" s="97"/>
      <c r="Q99" s="97"/>
      <c r="R99" s="97"/>
      <c r="S99" s="97"/>
      <c r="T99" s="97"/>
      <c r="U99" s="97"/>
      <c r="V99" s="97"/>
      <c r="W99" s="97"/>
      <c r="X99" s="97"/>
      <c r="Y99" s="97"/>
    </row>
    <row r="100" spans="1:25" x14ac:dyDescent="0.3">
      <c r="A100" s="97"/>
      <c r="B100" s="4">
        <f t="shared" si="2"/>
        <v>97</v>
      </c>
      <c r="C100" s="89"/>
      <c r="D100" s="4"/>
      <c r="E100" s="89"/>
      <c r="F100" s="89"/>
      <c r="G100" s="4"/>
      <c r="H100" s="82"/>
      <c r="I100" s="89"/>
      <c r="J100" s="89"/>
      <c r="K100" s="4"/>
      <c r="L100" s="97"/>
      <c r="M100" s="97"/>
      <c r="N100" s="97"/>
      <c r="O100" s="97"/>
      <c r="P100" s="97"/>
      <c r="Q100" s="97"/>
      <c r="R100" s="97"/>
      <c r="S100" s="97"/>
      <c r="T100" s="97"/>
      <c r="U100" s="97"/>
      <c r="V100" s="97"/>
      <c r="W100" s="97"/>
      <c r="X100" s="97"/>
      <c r="Y100" s="97"/>
    </row>
    <row r="101" spans="1:25" x14ac:dyDescent="0.3">
      <c r="A101" s="97"/>
      <c r="B101" s="4">
        <f t="shared" si="2"/>
        <v>98</v>
      </c>
      <c r="C101" s="89"/>
      <c r="D101" s="4"/>
      <c r="E101" s="89"/>
      <c r="F101" s="89"/>
      <c r="G101" s="4"/>
      <c r="H101" s="82"/>
      <c r="I101" s="89"/>
      <c r="J101" s="89"/>
      <c r="K101" s="4"/>
      <c r="L101" s="97"/>
      <c r="M101" s="97"/>
      <c r="N101" s="97"/>
      <c r="O101" s="97"/>
      <c r="P101" s="97"/>
      <c r="Q101" s="97"/>
      <c r="R101" s="97"/>
      <c r="S101" s="97"/>
      <c r="T101" s="97"/>
      <c r="U101" s="97"/>
      <c r="V101" s="97"/>
      <c r="W101" s="97"/>
      <c r="X101" s="97"/>
      <c r="Y101" s="97"/>
    </row>
    <row r="102" spans="1:25" x14ac:dyDescent="0.3">
      <c r="A102" s="97"/>
      <c r="B102" s="4">
        <f t="shared" si="2"/>
        <v>99</v>
      </c>
      <c r="K102" s="4"/>
      <c r="L102" s="97"/>
      <c r="M102" s="97"/>
      <c r="N102" s="97"/>
      <c r="O102" s="97"/>
      <c r="P102" s="97"/>
      <c r="Q102" s="97"/>
      <c r="R102" s="97"/>
      <c r="S102" s="97"/>
      <c r="T102" s="97"/>
      <c r="U102" s="97"/>
      <c r="V102" s="97"/>
      <c r="W102" s="97"/>
      <c r="X102" s="97"/>
      <c r="Y102" s="97"/>
    </row>
    <row r="103" spans="1:25" x14ac:dyDescent="0.3">
      <c r="A103" s="97"/>
      <c r="B103" s="102"/>
      <c r="C103" s="102"/>
      <c r="D103" s="102"/>
      <c r="E103" s="102"/>
      <c r="F103" s="102"/>
      <c r="G103" s="102"/>
      <c r="H103" s="102"/>
      <c r="I103" s="102"/>
      <c r="J103" s="102"/>
      <c r="K103" s="97"/>
      <c r="L103" s="97"/>
      <c r="M103" s="97"/>
      <c r="N103" s="97"/>
      <c r="O103" s="97"/>
      <c r="P103" s="97"/>
      <c r="Q103" s="97"/>
      <c r="R103" s="97"/>
      <c r="S103" s="97"/>
      <c r="T103" s="97"/>
      <c r="U103" s="97"/>
      <c r="V103" s="97"/>
      <c r="W103" s="97"/>
      <c r="X103" s="97"/>
      <c r="Y103" s="97"/>
    </row>
    <row r="104" spans="1:25" x14ac:dyDescent="0.3">
      <c r="A104" s="97"/>
      <c r="B104" s="102"/>
      <c r="C104" s="102"/>
      <c r="D104" s="102"/>
      <c r="E104" s="102"/>
      <c r="F104" s="102"/>
      <c r="G104" s="102"/>
      <c r="H104" s="102"/>
      <c r="I104" s="102"/>
      <c r="J104" s="102"/>
      <c r="K104" s="97"/>
      <c r="L104" s="97"/>
      <c r="M104" s="97"/>
      <c r="N104" s="97"/>
      <c r="O104" s="97"/>
      <c r="P104" s="97"/>
      <c r="Q104" s="97"/>
      <c r="R104" s="97"/>
      <c r="S104" s="97"/>
      <c r="T104" s="97"/>
      <c r="U104" s="97"/>
      <c r="V104" s="97"/>
      <c r="W104" s="97"/>
      <c r="X104" s="97"/>
      <c r="Y104" s="97"/>
    </row>
    <row r="105" spans="1:25" x14ac:dyDescent="0.3">
      <c r="A105" s="97"/>
      <c r="B105" s="102"/>
      <c r="C105" s="102"/>
      <c r="D105" s="102"/>
      <c r="E105" s="102"/>
      <c r="F105" s="102"/>
      <c r="G105" s="102"/>
      <c r="H105" s="102"/>
      <c r="I105" s="102"/>
      <c r="J105" s="102"/>
      <c r="K105" s="97"/>
      <c r="L105" s="97"/>
      <c r="M105" s="97"/>
      <c r="N105" s="97"/>
      <c r="O105" s="97"/>
      <c r="P105" s="97"/>
      <c r="Q105" s="97"/>
      <c r="R105" s="97"/>
      <c r="S105" s="97"/>
      <c r="T105" s="97"/>
      <c r="U105" s="97"/>
      <c r="V105" s="97"/>
      <c r="W105" s="97"/>
      <c r="X105" s="97"/>
      <c r="Y105" s="97"/>
    </row>
    <row r="106" spans="1:25" x14ac:dyDescent="0.3">
      <c r="A106" s="97"/>
      <c r="B106" s="102"/>
      <c r="C106" s="102"/>
      <c r="D106" s="102"/>
      <c r="E106" s="102"/>
      <c r="F106" s="102"/>
      <c r="G106" s="102"/>
      <c r="H106" s="102"/>
      <c r="I106" s="102"/>
      <c r="J106" s="102"/>
      <c r="K106" s="97"/>
      <c r="L106" s="97"/>
      <c r="M106" s="97"/>
      <c r="N106" s="97"/>
      <c r="O106" s="97"/>
      <c r="P106" s="97"/>
      <c r="Q106" s="97"/>
      <c r="R106" s="97"/>
      <c r="S106" s="97"/>
      <c r="T106" s="97"/>
      <c r="U106" s="97"/>
      <c r="V106" s="97"/>
      <c r="W106" s="97"/>
      <c r="X106" s="97"/>
      <c r="Y106" s="97"/>
    </row>
    <row r="107" spans="1:25" x14ac:dyDescent="0.3">
      <c r="A107" s="97"/>
      <c r="B107" s="97"/>
      <c r="C107" s="97"/>
      <c r="D107" s="110"/>
      <c r="E107" s="97"/>
      <c r="F107" s="97"/>
      <c r="G107" s="110"/>
      <c r="H107" s="111"/>
      <c r="I107" s="97"/>
      <c r="J107" s="97"/>
      <c r="K107" s="97"/>
      <c r="L107" s="97"/>
      <c r="M107" s="97"/>
      <c r="N107" s="97"/>
      <c r="O107" s="97"/>
      <c r="P107" s="97"/>
      <c r="Q107" s="97"/>
      <c r="R107" s="97"/>
      <c r="S107" s="97"/>
      <c r="T107" s="97"/>
      <c r="U107" s="97"/>
      <c r="V107" s="97"/>
      <c r="W107" s="97"/>
      <c r="X107" s="97"/>
      <c r="Y107" s="97"/>
    </row>
    <row r="108" spans="1:25" x14ac:dyDescent="0.3">
      <c r="A108" s="97"/>
      <c r="B108" s="97"/>
      <c r="C108" s="97"/>
      <c r="D108" s="110"/>
      <c r="E108" s="97"/>
      <c r="F108" s="97"/>
      <c r="G108" s="110"/>
      <c r="H108" s="111"/>
      <c r="I108" s="97"/>
      <c r="J108" s="97"/>
      <c r="K108" s="97"/>
      <c r="L108" s="97"/>
      <c r="M108" s="97"/>
      <c r="N108" s="97"/>
      <c r="O108" s="97"/>
      <c r="P108" s="97"/>
      <c r="Q108" s="97"/>
      <c r="R108" s="97"/>
      <c r="S108" s="97"/>
      <c r="T108" s="97"/>
      <c r="U108" s="97"/>
      <c r="V108" s="97"/>
      <c r="W108" s="97"/>
      <c r="X108" s="97"/>
      <c r="Y108" s="97"/>
    </row>
    <row r="109" spans="1:25" x14ac:dyDescent="0.3">
      <c r="A109" s="97"/>
      <c r="B109" s="97"/>
      <c r="C109" s="97"/>
      <c r="D109" s="110"/>
      <c r="E109" s="97"/>
      <c r="F109" s="97"/>
      <c r="G109" s="110"/>
      <c r="H109" s="111"/>
      <c r="I109" s="97"/>
      <c r="J109" s="97"/>
      <c r="K109" s="97"/>
      <c r="L109" s="97"/>
      <c r="M109" s="97"/>
      <c r="N109" s="97"/>
      <c r="O109" s="97"/>
      <c r="P109" s="97"/>
      <c r="Q109" s="97"/>
      <c r="R109" s="97"/>
      <c r="S109" s="97"/>
      <c r="T109" s="97"/>
      <c r="U109" s="97"/>
      <c r="V109" s="97"/>
      <c r="W109" s="97"/>
      <c r="X109" s="97"/>
      <c r="Y109" s="97"/>
    </row>
    <row r="110" spans="1:25" x14ac:dyDescent="0.3">
      <c r="A110" s="97"/>
      <c r="C110" s="97"/>
      <c r="D110" s="110"/>
      <c r="E110" s="97"/>
      <c r="F110" s="97"/>
      <c r="G110" s="110"/>
      <c r="H110" s="111"/>
      <c r="I110" s="97"/>
      <c r="J110" s="97"/>
      <c r="K110" s="97"/>
      <c r="L110" s="97"/>
      <c r="M110" s="97"/>
      <c r="N110" s="97"/>
      <c r="O110" s="97"/>
      <c r="P110" s="97"/>
      <c r="Q110" s="97"/>
      <c r="R110" s="97"/>
      <c r="S110" s="97"/>
      <c r="T110" s="97"/>
      <c r="U110" s="97"/>
      <c r="V110" s="97"/>
      <c r="W110" s="97"/>
      <c r="X110" s="97"/>
      <c r="Y110" s="97"/>
    </row>
  </sheetData>
  <sheetProtection algorithmName="SHA-512" hashValue="S75DopqFiqFCAQdMjYUGVR0lpbhGE58/s+U/rC6denGSCDWOdlq0TEXYSUAM0cVmlCp0za49+jbEiNM1hWS1gg==" saltValue="kBRhg/5CWmbwy0kh6yS1tw==" spinCount="100000" sheet="1" objects="1"/>
  <mergeCells count="5">
    <mergeCell ref="B1:J1"/>
    <mergeCell ref="B2:B3"/>
    <mergeCell ref="C2:F2"/>
    <mergeCell ref="G2:H2"/>
    <mergeCell ref="I2:J2"/>
  </mergeCells>
  <phoneticPr fontId="19"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29ba9f2-ec46-4979-814c-0bb9f6179669">
      <UserInfo>
        <DisplayName>Bird, Charlie</DisplayName>
        <AccountId>150</AccountId>
        <AccountType/>
      </UserInfo>
    </SharedWithUsers>
    <_activity xmlns="2be2c850-f54f-4e44-a6b3-72861abb97a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445DC60074DD049B317E7CD00D23347" ma:contentTypeVersion="15" ma:contentTypeDescription="Create a new document." ma:contentTypeScope="" ma:versionID="ed2c14a83dc05cd8b888866f5ea122db">
  <xsd:schema xmlns:xsd="http://www.w3.org/2001/XMLSchema" xmlns:xs="http://www.w3.org/2001/XMLSchema" xmlns:p="http://schemas.microsoft.com/office/2006/metadata/properties" xmlns:ns3="2be2c850-f54f-4e44-a6b3-72861abb97a2" xmlns:ns4="129ba9f2-ec46-4979-814c-0bb9f6179669" targetNamespace="http://schemas.microsoft.com/office/2006/metadata/properties" ma:root="true" ma:fieldsID="499501186012bbcc365cfcfb075034ed" ns3:_="" ns4:_="">
    <xsd:import namespace="2be2c850-f54f-4e44-a6b3-72861abb97a2"/>
    <xsd:import namespace="129ba9f2-ec46-4979-814c-0bb9f6179669"/>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SystemTags" minOccurs="0"/>
                <xsd:element ref="ns3:MediaServiceDateTaken"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e2c850-f54f-4e44-a6b3-72861abb97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ystemTags" ma:index="19" nillable="true" ma:displayName="MediaServiceSystemTags" ma:hidden="true" ma:internalName="MediaServiceSystemTag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29ba9f2-ec46-4979-814c-0bb9f617966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7B7032-2DF6-4F5B-9CAF-D3F582EC019C}">
  <ds:schemaRefs>
    <ds:schemaRef ds:uri="http://schemas.microsoft.com/office/2006/metadata/properties"/>
    <ds:schemaRef ds:uri="http://purl.org/dc/dcmitype/"/>
    <ds:schemaRef ds:uri="2be2c850-f54f-4e44-a6b3-72861abb97a2"/>
    <ds:schemaRef ds:uri="http://purl.org/dc/terms/"/>
    <ds:schemaRef ds:uri="http://www.w3.org/XML/1998/namespace"/>
    <ds:schemaRef ds:uri="http://schemas.openxmlformats.org/package/2006/metadata/core-properties"/>
    <ds:schemaRef ds:uri="http://purl.org/dc/elements/1.1/"/>
    <ds:schemaRef ds:uri="129ba9f2-ec46-4979-814c-0bb9f6179669"/>
    <ds:schemaRef ds:uri="http://schemas.microsoft.com/office/2006/documentManagement/types"/>
    <ds:schemaRef ds:uri="http://schemas.microsoft.com/office/infopath/2007/PartnerControls"/>
  </ds:schemaRefs>
</ds:datastoreItem>
</file>

<file path=customXml/itemProps2.xml><?xml version="1.0" encoding="utf-8"?>
<ds:datastoreItem xmlns:ds="http://schemas.openxmlformats.org/officeDocument/2006/customXml" ds:itemID="{EF62FBED-CC6F-4361-B351-FEF6C51D9655}">
  <ds:schemaRefs>
    <ds:schemaRef ds:uri="http://schemas.microsoft.com/sharepoint/v3/contenttype/forms"/>
  </ds:schemaRefs>
</ds:datastoreItem>
</file>

<file path=customXml/itemProps3.xml><?xml version="1.0" encoding="utf-8"?>
<ds:datastoreItem xmlns:ds="http://schemas.openxmlformats.org/officeDocument/2006/customXml" ds:itemID="{F64EA654-ADD3-4D15-A921-C016F22B6D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e2c850-f54f-4e44-a6b3-72861abb97a2"/>
    <ds:schemaRef ds:uri="129ba9f2-ec46-4979-814c-0bb9f617966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47</vt:i4>
      </vt:variant>
    </vt:vector>
  </HeadingPairs>
  <TitlesOfParts>
    <vt:vector size="59" baseType="lpstr">
      <vt:lpstr>1. Introduction</vt:lpstr>
      <vt:lpstr>2. Site Details</vt:lpstr>
      <vt:lpstr>3. Desktop Assessment</vt:lpstr>
      <vt:lpstr>4. Supporting Information</vt:lpstr>
      <vt:lpstr>5. Area Habitats</vt:lpstr>
      <vt:lpstr>6. Hedges &amp; Lines of Trees</vt:lpstr>
      <vt:lpstr>7. Watercourses</vt:lpstr>
      <vt:lpstr>8. Headline Results</vt:lpstr>
      <vt:lpstr>9. All Habitats + Multipliers</vt:lpstr>
      <vt:lpstr>10. Condition and Temporal</vt:lpstr>
      <vt:lpstr>11. Lists</vt:lpstr>
      <vt:lpstr>13. Habitats Translation</vt:lpstr>
      <vt:lpstr>'6. Hedges &amp; Lines of Trees'!CoastalSaltmarsh</vt:lpstr>
      <vt:lpstr>'7. Watercourses'!CoastalSaltmarsh</vt:lpstr>
      <vt:lpstr>CoastalSaltmarsh</vt:lpstr>
      <vt:lpstr>'6. Hedges &amp; Lines of Trees'!Cropland</vt:lpstr>
      <vt:lpstr>'7. Watercourses'!Cropland</vt:lpstr>
      <vt:lpstr>Cropland</vt:lpstr>
      <vt:lpstr>'6. Hedges &amp; Lines of Trees'!Grassland</vt:lpstr>
      <vt:lpstr>'7. Watercourses'!Grassland</vt:lpstr>
      <vt:lpstr>Grassland</vt:lpstr>
      <vt:lpstr>'6. Hedges &amp; Lines of Trees'!Heathlandandshrub</vt:lpstr>
      <vt:lpstr>'7. Watercourses'!Heathlandandshrub</vt:lpstr>
      <vt:lpstr>Heathlandandshrub</vt:lpstr>
      <vt:lpstr>Hedgerow</vt:lpstr>
      <vt:lpstr>HedgerowsandLinesofTrees</vt:lpstr>
      <vt:lpstr>'6. Hedges &amp; Lines of Trees'!Intertidalhardstructures</vt:lpstr>
      <vt:lpstr>'7. Watercourses'!Intertidalhardstructures</vt:lpstr>
      <vt:lpstr>Intertidalhardstructures</vt:lpstr>
      <vt:lpstr>'6. Hedges &amp; Lines of Trees'!Intertidalsediment</vt:lpstr>
      <vt:lpstr>'7. Watercourses'!Intertidalsediment</vt:lpstr>
      <vt:lpstr>Intertidalsediment</vt:lpstr>
      <vt:lpstr>'6. Hedges &amp; Lines of Trees'!Lakes</vt:lpstr>
      <vt:lpstr>'7. Watercourses'!Lakes</vt:lpstr>
      <vt:lpstr>Lakes</vt:lpstr>
      <vt:lpstr>'6. Hedges &amp; Lines of Trees'!Lineoftrees</vt:lpstr>
      <vt:lpstr>'7. Watercourses'!Lineoftrees</vt:lpstr>
      <vt:lpstr>Lineoftrees</vt:lpstr>
      <vt:lpstr>'1. Introduction'!Print_Area</vt:lpstr>
      <vt:lpstr>'2. Site Details'!Print_Area</vt:lpstr>
      <vt:lpstr>'3. Desktop Assessment'!Print_Area</vt:lpstr>
      <vt:lpstr>'4. Supporting Information'!Print_Area</vt:lpstr>
      <vt:lpstr>'5. Area Habitats'!Print_Area</vt:lpstr>
      <vt:lpstr>'6. Hedges &amp; Lines of Trees'!Print_Area</vt:lpstr>
      <vt:lpstr>'7. Watercourses'!Print_Area</vt:lpstr>
      <vt:lpstr>'8. Headline Results'!Print_Area</vt:lpstr>
      <vt:lpstr>'6. Hedges &amp; Lines of Trees'!Rivers</vt:lpstr>
      <vt:lpstr>'7. Watercourses'!Rivers</vt:lpstr>
      <vt:lpstr>Rivers</vt:lpstr>
      <vt:lpstr>'6. Hedges &amp; Lines of Trees'!Sparselyvegetatedland</vt:lpstr>
      <vt:lpstr>'7. Watercourses'!Sparselyvegetatedland</vt:lpstr>
      <vt:lpstr>Sparselyvegetatedland</vt:lpstr>
      <vt:lpstr>'6. Hedges &amp; Lines of Trees'!Urban</vt:lpstr>
      <vt:lpstr>'7. Watercourses'!Urban</vt:lpstr>
      <vt:lpstr>Urban</vt:lpstr>
      <vt:lpstr>Watercourses</vt:lpstr>
      <vt:lpstr>'6. Hedges &amp; Lines of Trees'!Woodlandandforest</vt:lpstr>
      <vt:lpstr>'7. Watercourses'!Woodlandandforest</vt:lpstr>
      <vt:lpstr>Woodlandandforest</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Samuel J. Arthur</dc:creator>
  <cp:keywords/>
  <dc:description/>
  <cp:lastModifiedBy>Helen Yousefi-Atkinson</cp:lastModifiedBy>
  <cp:revision/>
  <dcterms:created xsi:type="dcterms:W3CDTF">2020-09-14T13:04:31Z</dcterms:created>
  <dcterms:modified xsi:type="dcterms:W3CDTF">2024-08-05T09:23:13Z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0x010100F445DC60074DD049B317E7CD00D23347</vt:lpwstr>
  </property>
  <property fmtid="{D5CDD505-2E9C-101B-9397-08002B2CF9AE}" pid="3" name="InformationType">
    <vt:lpwstr/>
  </property>
  <property fmtid="{D5CDD505-2E9C-101B-9397-08002B2CF9AE}" pid="4" name="Distribution">
    <vt:lpwstr>9;#Internal NE|70a74972-c838-4a08-aeb8-2c6aad14b4d9</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y fmtid="{D5CDD505-2E9C-101B-9397-08002B2CF9AE}" pid="9" name="SharedWithUsers">
    <vt:lpwstr>150;#Bird, Charlie</vt:lpwstr>
  </property>
  <property fmtid="{D5CDD505-2E9C-101B-9397-08002B2CF9AE}" pid="10" name="MediaServiceImageTags">
    <vt:lpwstr/>
  </property>
</Properties>
</file>